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norbert.flamisch\Documents\inArbeit\"/>
    </mc:Choice>
  </mc:AlternateContent>
  <xr:revisionPtr revIDLastSave="0" documentId="13_ncr:1_{D48242A2-7C26-4F2E-A8AB-A36337D48B14}" xr6:coauthVersionLast="47" xr6:coauthVersionMax="47" xr10:uidLastSave="{00000000-0000-0000-0000-000000000000}"/>
  <bookViews>
    <workbookView xWindow="22932" yWindow="-108" windowWidth="23256" windowHeight="12456" xr2:uid="{E87E3EA0-527F-4C7A-AB18-DA4D9021B202}"/>
  </bookViews>
  <sheets>
    <sheet name="Grunddaten" sheetId="1" r:id="rId1"/>
    <sheet name="Diagramm" sheetId="3" r:id="rId2"/>
    <sheet name="Jahreskosten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1" i="1" l="1"/>
  <c r="D41" i="1" s="1"/>
  <c r="F41" i="1" s="1"/>
  <c r="I7" i="1"/>
  <c r="I6" i="1"/>
  <c r="I5" i="1"/>
  <c r="I4" i="1"/>
  <c r="I3" i="1"/>
  <c r="F7" i="1"/>
  <c r="AI27" i="2"/>
  <c r="AI26" i="2"/>
  <c r="AI25" i="2"/>
  <c r="AI24" i="2"/>
  <c r="AI23" i="2"/>
  <c r="AI22" i="2"/>
  <c r="AI21" i="2"/>
  <c r="AI20" i="2"/>
  <c r="AI19" i="2"/>
  <c r="AI18" i="2"/>
  <c r="AI17" i="2"/>
  <c r="AI16" i="2"/>
  <c r="AI15" i="2"/>
  <c r="AI14" i="2"/>
  <c r="AI13" i="2"/>
  <c r="AI12" i="2"/>
  <c r="AI11" i="2"/>
  <c r="AI10" i="2"/>
  <c r="AI9" i="2"/>
  <c r="AI8" i="2"/>
  <c r="AI7" i="2"/>
  <c r="AI6" i="2"/>
  <c r="AI5" i="2"/>
  <c r="AI4" i="2"/>
  <c r="AI3" i="2"/>
  <c r="AA27" i="2"/>
  <c r="AA26" i="2"/>
  <c r="AA25" i="2"/>
  <c r="AA24" i="2"/>
  <c r="AA23" i="2"/>
  <c r="AA22" i="2"/>
  <c r="AA21" i="2"/>
  <c r="AA20" i="2"/>
  <c r="AA19" i="2"/>
  <c r="AA18" i="2"/>
  <c r="AA17" i="2"/>
  <c r="AA16" i="2"/>
  <c r="AA15" i="2"/>
  <c r="AA14" i="2"/>
  <c r="AA13" i="2"/>
  <c r="AA12" i="2"/>
  <c r="AA11" i="2"/>
  <c r="AA10" i="2"/>
  <c r="AA9" i="2"/>
  <c r="AA8" i="2"/>
  <c r="AA7" i="2"/>
  <c r="AA6" i="2"/>
  <c r="AA5" i="2"/>
  <c r="AA4" i="2"/>
  <c r="AA3" i="2"/>
  <c r="S27" i="2"/>
  <c r="S26" i="2"/>
  <c r="S25" i="2"/>
  <c r="S24" i="2"/>
  <c r="S23" i="2"/>
  <c r="S22" i="2"/>
  <c r="S21" i="2"/>
  <c r="S20" i="2"/>
  <c r="S19" i="2"/>
  <c r="S18" i="2"/>
  <c r="S17" i="2"/>
  <c r="S16" i="2"/>
  <c r="S15" i="2"/>
  <c r="S14" i="2"/>
  <c r="S13" i="2"/>
  <c r="S12" i="2"/>
  <c r="S11" i="2"/>
  <c r="S10" i="2"/>
  <c r="S9" i="2"/>
  <c r="S8" i="2"/>
  <c r="S7" i="2"/>
  <c r="S6" i="2"/>
  <c r="S5" i="2"/>
  <c r="S4" i="2"/>
  <c r="S3" i="2"/>
  <c r="K27" i="2"/>
  <c r="K26" i="2"/>
  <c r="K25" i="2"/>
  <c r="K24" i="2"/>
  <c r="K23" i="2"/>
  <c r="K22" i="2"/>
  <c r="K21" i="2"/>
  <c r="K20" i="2"/>
  <c r="K19" i="2"/>
  <c r="K18" i="2"/>
  <c r="K17" i="2"/>
  <c r="K16" i="2"/>
  <c r="K15" i="2"/>
  <c r="K14" i="2"/>
  <c r="K13" i="2"/>
  <c r="K12" i="2"/>
  <c r="K11" i="2"/>
  <c r="K10" i="2"/>
  <c r="K9" i="2"/>
  <c r="K8" i="2"/>
  <c r="K7" i="2"/>
  <c r="K6" i="2"/>
  <c r="K5" i="2"/>
  <c r="K4" i="2"/>
  <c r="K3" i="2"/>
  <c r="D27" i="2"/>
  <c r="D26" i="2"/>
  <c r="D25" i="2"/>
  <c r="D24" i="2"/>
  <c r="D23" i="2"/>
  <c r="D22" i="2"/>
  <c r="D21" i="2"/>
  <c r="D20" i="2"/>
  <c r="D19" i="2"/>
  <c r="D18" i="2"/>
  <c r="D17" i="2"/>
  <c r="D16" i="2"/>
  <c r="D15" i="2"/>
  <c r="D14" i="2"/>
  <c r="D13" i="2"/>
  <c r="D12" i="2"/>
  <c r="D11" i="2"/>
  <c r="D10" i="2"/>
  <c r="D9" i="2"/>
  <c r="D8" i="2"/>
  <c r="D7" i="2"/>
  <c r="D6" i="2"/>
  <c r="D5" i="2"/>
  <c r="D4" i="2"/>
  <c r="D3" i="2"/>
  <c r="B81" i="1"/>
  <c r="B77" i="1"/>
  <c r="F69" i="1"/>
  <c r="F52" i="1"/>
  <c r="B21" i="1"/>
  <c r="AL4" i="2"/>
  <c r="AL5" i="2" s="1"/>
  <c r="AL6" i="2" s="1"/>
  <c r="AL7" i="2" s="1"/>
  <c r="AL8" i="2" s="1"/>
  <c r="AL9" i="2" s="1"/>
  <c r="AL10" i="2" s="1"/>
  <c r="AL11" i="2" s="1"/>
  <c r="AL12" i="2" s="1"/>
  <c r="F7" i="2"/>
  <c r="F54" i="1"/>
  <c r="F55" i="1"/>
  <c r="F56" i="1"/>
  <c r="B29" i="1"/>
  <c r="B37" i="1" s="1"/>
  <c r="B38" i="1" s="1"/>
  <c r="B40" i="1" s="1"/>
  <c r="C78" i="1"/>
  <c r="AD4" i="2"/>
  <c r="AD5" i="2" s="1"/>
  <c r="AD6" i="2" s="1"/>
  <c r="AD7" i="2" s="1"/>
  <c r="AD8" i="2" s="1"/>
  <c r="AD9" i="2" s="1"/>
  <c r="AD10" i="2" s="1"/>
  <c r="AD11" i="2" s="1"/>
  <c r="AD12" i="2" s="1"/>
  <c r="V4" i="2"/>
  <c r="V5" i="2" s="1"/>
  <c r="V6" i="2" s="1"/>
  <c r="V7" i="2" s="1"/>
  <c r="V8" i="2" s="1"/>
  <c r="V9" i="2" s="1"/>
  <c r="V10" i="2" s="1"/>
  <c r="V11" i="2" s="1"/>
  <c r="V12" i="2" s="1"/>
  <c r="N4" i="2"/>
  <c r="N5" i="2" s="1"/>
  <c r="N6" i="2" s="1"/>
  <c r="N7" i="2" s="1"/>
  <c r="N8" i="2" s="1"/>
  <c r="N9" i="2" s="1"/>
  <c r="N10" i="2" s="1"/>
  <c r="N11" i="2" s="1"/>
  <c r="N12" i="2" s="1"/>
  <c r="B62" i="1"/>
  <c r="F62" i="1" s="1"/>
  <c r="F53" i="1"/>
  <c r="D43" i="1"/>
  <c r="F43" i="1" s="1"/>
  <c r="D42" i="1"/>
  <c r="F42" i="1" s="1"/>
  <c r="D21" i="1"/>
  <c r="F21" i="1" s="1"/>
  <c r="D19" i="1"/>
  <c r="F19" i="1" s="1"/>
  <c r="B5" i="1"/>
  <c r="B11" i="1" s="1"/>
  <c r="D20" i="1"/>
  <c r="F20" i="1" s="1"/>
  <c r="D18" i="1"/>
  <c r="F18" i="1" s="1"/>
  <c r="F5" i="1" l="1"/>
  <c r="F70" i="1"/>
  <c r="F71" i="1" s="1"/>
  <c r="F6" i="1"/>
  <c r="B50" i="1" s="1"/>
  <c r="F50" i="1" s="1"/>
  <c r="B27" i="1"/>
  <c r="F22" i="1"/>
  <c r="C3" i="2" s="1"/>
  <c r="E3" i="2" s="1"/>
  <c r="G3" i="2" s="1"/>
  <c r="H3" i="2" s="1"/>
  <c r="D40" i="1"/>
  <c r="F40" i="1" s="1"/>
  <c r="F44" i="1" s="1"/>
  <c r="C80" i="1"/>
  <c r="B51" i="1" l="1"/>
  <c r="F51" i="1" s="1"/>
  <c r="B49" i="1"/>
  <c r="F49" i="1" s="1"/>
  <c r="R3" i="2"/>
  <c r="T3" i="2" s="1"/>
  <c r="R4" i="2" s="1"/>
  <c r="T4" i="2" s="1"/>
  <c r="R5" i="2" s="1"/>
  <c r="T5" i="2" s="1"/>
  <c r="AH3" i="2"/>
  <c r="AJ3" i="2" s="1"/>
  <c r="C4" i="2"/>
  <c r="E4" i="2" s="1"/>
  <c r="G4" i="2" s="1"/>
  <c r="H4" i="2" s="1"/>
  <c r="Z3" i="2"/>
  <c r="AB3" i="2" s="1"/>
  <c r="Z4" i="2" s="1"/>
  <c r="AB4" i="2" s="1"/>
  <c r="Z5" i="2" s="1"/>
  <c r="AB5" i="2" s="1"/>
  <c r="J3" i="2"/>
  <c r="L3" i="2" s="1"/>
  <c r="J4" i="2" s="1"/>
  <c r="L4" i="2" s="1"/>
  <c r="J5" i="2" s="1"/>
  <c r="L5" i="2" s="1"/>
  <c r="C82" i="1"/>
  <c r="F57" i="1" l="1"/>
  <c r="AH4" i="2"/>
  <c r="AJ4" i="2" s="1"/>
  <c r="C5" i="2"/>
  <c r="E5" i="2" s="1"/>
  <c r="G5" i="2" s="1"/>
  <c r="H5" i="2" s="1"/>
  <c r="J6" i="2"/>
  <c r="L6" i="2" s="1"/>
  <c r="J7" i="2" s="1"/>
  <c r="L7" i="2" s="1"/>
  <c r="Z6" i="2"/>
  <c r="AB6" i="2" s="1"/>
  <c r="R6" i="2"/>
  <c r="T6" i="2" s="1"/>
  <c r="B76" i="1" l="1"/>
  <c r="B78" i="1" s="1"/>
  <c r="E78" i="1" s="1"/>
  <c r="F73" i="1"/>
  <c r="AH5" i="2"/>
  <c r="AJ5" i="2" s="1"/>
  <c r="C6" i="2"/>
  <c r="E6" i="2" s="1"/>
  <c r="G6" i="2" s="1"/>
  <c r="H6" i="2" s="1"/>
  <c r="Z7" i="2"/>
  <c r="AB7" i="2" s="1"/>
  <c r="R7" i="2"/>
  <c r="T7" i="2" s="1"/>
  <c r="J8" i="2"/>
  <c r="L8" i="2" s="1"/>
  <c r="E76" i="1" l="1"/>
  <c r="M8" i="2" s="1"/>
  <c r="O8" i="2" s="1"/>
  <c r="B80" i="1"/>
  <c r="B82" i="1" s="1"/>
  <c r="E82" i="1" s="1"/>
  <c r="F78" i="1"/>
  <c r="AC4" i="2"/>
  <c r="AE4" i="2" s="1"/>
  <c r="AC12" i="2"/>
  <c r="AC3" i="2"/>
  <c r="AE3" i="2" s="1"/>
  <c r="AF3" i="2" s="1"/>
  <c r="AC10" i="2"/>
  <c r="AC6" i="2"/>
  <c r="AE6" i="2" s="1"/>
  <c r="AC9" i="2"/>
  <c r="AC11" i="2"/>
  <c r="AC5" i="2"/>
  <c r="AE5" i="2" s="1"/>
  <c r="AC7" i="2"/>
  <c r="AE7" i="2" s="1"/>
  <c r="AC8" i="2"/>
  <c r="AH6" i="2"/>
  <c r="AJ6" i="2" s="1"/>
  <c r="C7" i="2"/>
  <c r="E7" i="2" s="1"/>
  <c r="G7" i="2" s="1"/>
  <c r="H7" i="2" s="1"/>
  <c r="J3" i="1" s="1"/>
  <c r="Z8" i="2"/>
  <c r="AB8" i="2" s="1"/>
  <c r="R8" i="2"/>
  <c r="T8" i="2" s="1"/>
  <c r="J9" i="2"/>
  <c r="L9" i="2" s="1"/>
  <c r="E80" i="1" l="1"/>
  <c r="U11" i="2" s="1"/>
  <c r="M3" i="2"/>
  <c r="O3" i="2" s="1"/>
  <c r="P3" i="2" s="1"/>
  <c r="F76" i="1"/>
  <c r="M5" i="2"/>
  <c r="O5" i="2" s="1"/>
  <c r="M9" i="2"/>
  <c r="O9" i="2" s="1"/>
  <c r="M4" i="2"/>
  <c r="O4" i="2" s="1"/>
  <c r="M6" i="2"/>
  <c r="O6" i="2" s="1"/>
  <c r="M10" i="2"/>
  <c r="M7" i="2"/>
  <c r="O7" i="2" s="1"/>
  <c r="M11" i="2"/>
  <c r="M12" i="2"/>
  <c r="AF4" i="2"/>
  <c r="AF5" i="2" s="1"/>
  <c r="AF6" i="2" s="1"/>
  <c r="AF7" i="2" s="1"/>
  <c r="J6" i="1" s="1"/>
  <c r="AK6" i="2"/>
  <c r="AM6" i="2" s="1"/>
  <c r="AK11" i="2"/>
  <c r="AK20" i="2"/>
  <c r="AK3" i="2"/>
  <c r="AM3" i="2" s="1"/>
  <c r="AN3" i="2" s="1"/>
  <c r="AK4" i="2"/>
  <c r="AM4" i="2" s="1"/>
  <c r="AK18" i="2"/>
  <c r="AK13" i="2"/>
  <c r="AK17" i="2"/>
  <c r="AK5" i="2"/>
  <c r="AM5" i="2" s="1"/>
  <c r="AK19" i="2"/>
  <c r="F82" i="1"/>
  <c r="AK21" i="2"/>
  <c r="AK10" i="2"/>
  <c r="AK15" i="2"/>
  <c r="AK9" i="2"/>
  <c r="AK22" i="2"/>
  <c r="AK12" i="2"/>
  <c r="AK16" i="2"/>
  <c r="AK8" i="2"/>
  <c r="AK7" i="2"/>
  <c r="AK14" i="2"/>
  <c r="AH7" i="2"/>
  <c r="AJ7" i="2" s="1"/>
  <c r="C8" i="2"/>
  <c r="E8" i="2" s="1"/>
  <c r="G8" i="2" s="1"/>
  <c r="H8" i="2" s="1"/>
  <c r="Z9" i="2"/>
  <c r="AB9" i="2" s="1"/>
  <c r="AE8" i="2"/>
  <c r="R9" i="2"/>
  <c r="T9" i="2" s="1"/>
  <c r="J10" i="2"/>
  <c r="L10" i="2" s="1"/>
  <c r="U5" i="2" l="1"/>
  <c r="W5" i="2" s="1"/>
  <c r="U9" i="2"/>
  <c r="W9" i="2" s="1"/>
  <c r="U22" i="2"/>
  <c r="U13" i="2"/>
  <c r="U6" i="2"/>
  <c r="W6" i="2" s="1"/>
  <c r="F80" i="1"/>
  <c r="U3" i="2"/>
  <c r="W3" i="2" s="1"/>
  <c r="X3" i="2" s="1"/>
  <c r="U14" i="2"/>
  <c r="U4" i="2"/>
  <c r="W4" i="2" s="1"/>
  <c r="U19" i="2"/>
  <c r="U12" i="2"/>
  <c r="U15" i="2"/>
  <c r="U17" i="2"/>
  <c r="U20" i="2"/>
  <c r="U8" i="2"/>
  <c r="W8" i="2" s="1"/>
  <c r="U21" i="2"/>
  <c r="U18" i="2"/>
  <c r="U16" i="2"/>
  <c r="U7" i="2"/>
  <c r="W7" i="2" s="1"/>
  <c r="U10" i="2"/>
  <c r="P4" i="2"/>
  <c r="P5" i="2" s="1"/>
  <c r="P6" i="2" s="1"/>
  <c r="P7" i="2" s="1"/>
  <c r="AN4" i="2"/>
  <c r="AN5" i="2" s="1"/>
  <c r="AN6" i="2" s="1"/>
  <c r="AF8" i="2"/>
  <c r="AH8" i="2"/>
  <c r="AJ8" i="2" s="1"/>
  <c r="AM7" i="2"/>
  <c r="C9" i="2"/>
  <c r="E9" i="2" s="1"/>
  <c r="G9" i="2" s="1"/>
  <c r="H9" i="2" s="1"/>
  <c r="Z10" i="2"/>
  <c r="AB10" i="2" s="1"/>
  <c r="AE9" i="2"/>
  <c r="R10" i="2"/>
  <c r="T10" i="2" s="1"/>
  <c r="J11" i="2"/>
  <c r="L11" i="2" s="1"/>
  <c r="O10" i="2"/>
  <c r="X4" i="2" l="1"/>
  <c r="X5" i="2" s="1"/>
  <c r="X6" i="2" s="1"/>
  <c r="X7" i="2" s="1"/>
  <c r="P8" i="2"/>
  <c r="P9" i="2" s="1"/>
  <c r="P10" i="2" s="1"/>
  <c r="J4" i="1"/>
  <c r="AF9" i="2"/>
  <c r="AN7" i="2"/>
  <c r="J7" i="1" s="1"/>
  <c r="AH9" i="2"/>
  <c r="AJ9" i="2" s="1"/>
  <c r="AM8" i="2"/>
  <c r="C10" i="2"/>
  <c r="E10" i="2" s="1"/>
  <c r="G10" i="2" s="1"/>
  <c r="H10" i="2" s="1"/>
  <c r="Z11" i="2"/>
  <c r="AB11" i="2" s="1"/>
  <c r="AE10" i="2"/>
  <c r="W10" i="2"/>
  <c r="R11" i="2"/>
  <c r="T11" i="2" s="1"/>
  <c r="J12" i="2"/>
  <c r="L12" i="2" s="1"/>
  <c r="O11" i="2"/>
  <c r="X8" i="2" l="1"/>
  <c r="X9" i="2" s="1"/>
  <c r="X10" i="2" s="1"/>
  <c r="J5" i="1"/>
  <c r="AF10" i="2"/>
  <c r="P11" i="2"/>
  <c r="AN8" i="2"/>
  <c r="AM9" i="2"/>
  <c r="AH10" i="2"/>
  <c r="AJ10" i="2" s="1"/>
  <c r="C11" i="2"/>
  <c r="E11" i="2" s="1"/>
  <c r="G11" i="2" s="1"/>
  <c r="H11" i="2" s="1"/>
  <c r="AE11" i="2"/>
  <c r="Z12" i="2"/>
  <c r="AB12" i="2" s="1"/>
  <c r="R12" i="2"/>
  <c r="T12" i="2" s="1"/>
  <c r="W11" i="2"/>
  <c r="J13" i="2"/>
  <c r="L13" i="2" s="1"/>
  <c r="O12" i="2"/>
  <c r="AF11" i="2" l="1"/>
  <c r="P12" i="2"/>
  <c r="K4" i="1" s="1"/>
  <c r="X11" i="2"/>
  <c r="AN9" i="2"/>
  <c r="AM10" i="2"/>
  <c r="AH11" i="2"/>
  <c r="AJ11" i="2" s="1"/>
  <c r="C12" i="2"/>
  <c r="E12" i="2" s="1"/>
  <c r="G12" i="2" s="1"/>
  <c r="H12" i="2" s="1"/>
  <c r="K3" i="1" s="1"/>
  <c r="Z13" i="2"/>
  <c r="AB13" i="2" s="1"/>
  <c r="AE12" i="2"/>
  <c r="R13" i="2"/>
  <c r="T13" i="2" s="1"/>
  <c r="W12" i="2"/>
  <c r="J14" i="2"/>
  <c r="L14" i="2" s="1"/>
  <c r="O13" i="2"/>
  <c r="AF12" i="2" l="1"/>
  <c r="K6" i="1" s="1"/>
  <c r="X12" i="2"/>
  <c r="K5" i="1" s="1"/>
  <c r="P13" i="2"/>
  <c r="AN10" i="2"/>
  <c r="AH12" i="2"/>
  <c r="AJ12" i="2" s="1"/>
  <c r="AM11" i="2"/>
  <c r="C13" i="2"/>
  <c r="E13" i="2" s="1"/>
  <c r="G13" i="2" s="1"/>
  <c r="H13" i="2" s="1"/>
  <c r="AE13" i="2"/>
  <c r="AF13" i="2" s="1"/>
  <c r="Z14" i="2"/>
  <c r="AB14" i="2" s="1"/>
  <c r="W13" i="2"/>
  <c r="X13" i="2" s="1"/>
  <c r="R14" i="2"/>
  <c r="T14" i="2" s="1"/>
  <c r="J15" i="2"/>
  <c r="L15" i="2" s="1"/>
  <c r="O14" i="2"/>
  <c r="P14" i="2" l="1"/>
  <c r="AN11" i="2"/>
  <c r="AH13" i="2"/>
  <c r="AJ13" i="2" s="1"/>
  <c r="AM12" i="2"/>
  <c r="C14" i="2"/>
  <c r="E14" i="2" s="1"/>
  <c r="G14" i="2" s="1"/>
  <c r="H14" i="2" s="1"/>
  <c r="Z15" i="2"/>
  <c r="AB15" i="2" s="1"/>
  <c r="AE14" i="2"/>
  <c r="AF14" i="2" s="1"/>
  <c r="W14" i="2"/>
  <c r="X14" i="2" s="1"/>
  <c r="R15" i="2"/>
  <c r="T15" i="2" s="1"/>
  <c r="J16" i="2"/>
  <c r="L16" i="2" s="1"/>
  <c r="O15" i="2"/>
  <c r="P15" i="2" l="1"/>
  <c r="AN12" i="2"/>
  <c r="K7" i="1" s="1"/>
  <c r="AH14" i="2"/>
  <c r="AJ14" i="2" s="1"/>
  <c r="AM13" i="2"/>
  <c r="C15" i="2"/>
  <c r="E15" i="2" s="1"/>
  <c r="G15" i="2" s="1"/>
  <c r="H15" i="2" s="1"/>
  <c r="Z16" i="2"/>
  <c r="AB16" i="2" s="1"/>
  <c r="AE15" i="2"/>
  <c r="AF15" i="2" s="1"/>
  <c r="R16" i="2"/>
  <c r="T16" i="2" s="1"/>
  <c r="W15" i="2"/>
  <c r="X15" i="2" s="1"/>
  <c r="J17" i="2"/>
  <c r="L17" i="2" s="1"/>
  <c r="O16" i="2"/>
  <c r="P16" i="2" l="1"/>
  <c r="AN13" i="2"/>
  <c r="AH15" i="2"/>
  <c r="AJ15" i="2" s="1"/>
  <c r="AM14" i="2"/>
  <c r="C16" i="2"/>
  <c r="E16" i="2" s="1"/>
  <c r="G16" i="2" s="1"/>
  <c r="H16" i="2" s="1"/>
  <c r="AE16" i="2"/>
  <c r="AF16" i="2" s="1"/>
  <c r="Z17" i="2"/>
  <c r="AB17" i="2" s="1"/>
  <c r="R17" i="2"/>
  <c r="T17" i="2" s="1"/>
  <c r="W16" i="2"/>
  <c r="X16" i="2" s="1"/>
  <c r="J18" i="2"/>
  <c r="L18" i="2" s="1"/>
  <c r="O17" i="2"/>
  <c r="P17" i="2" l="1"/>
  <c r="L4" i="1" s="1"/>
  <c r="AN14" i="2"/>
  <c r="AH16" i="2"/>
  <c r="AJ16" i="2" s="1"/>
  <c r="AM15" i="2"/>
  <c r="C17" i="2"/>
  <c r="E17" i="2" s="1"/>
  <c r="G17" i="2" s="1"/>
  <c r="H17" i="2" s="1"/>
  <c r="L3" i="1" s="1"/>
  <c r="AE17" i="2"/>
  <c r="AF17" i="2" s="1"/>
  <c r="L6" i="1" s="1"/>
  <c r="Z18" i="2"/>
  <c r="AB18" i="2" s="1"/>
  <c r="R18" i="2"/>
  <c r="T18" i="2" s="1"/>
  <c r="W17" i="2"/>
  <c r="X17" i="2" s="1"/>
  <c r="L5" i="1" s="1"/>
  <c r="J19" i="2"/>
  <c r="L19" i="2" s="1"/>
  <c r="O18" i="2"/>
  <c r="P18" i="2" l="1"/>
  <c r="AN15" i="2"/>
  <c r="AM16" i="2"/>
  <c r="AH17" i="2"/>
  <c r="AJ17" i="2" s="1"/>
  <c r="C18" i="2"/>
  <c r="E18" i="2" s="1"/>
  <c r="G18" i="2" s="1"/>
  <c r="H18" i="2" s="1"/>
  <c r="Z19" i="2"/>
  <c r="AB19" i="2" s="1"/>
  <c r="AE18" i="2"/>
  <c r="AF18" i="2" s="1"/>
  <c r="R19" i="2"/>
  <c r="T19" i="2" s="1"/>
  <c r="W18" i="2"/>
  <c r="X18" i="2" s="1"/>
  <c r="J20" i="2"/>
  <c r="L20" i="2" s="1"/>
  <c r="O19" i="2"/>
  <c r="P19" i="2" l="1"/>
  <c r="AN16" i="2"/>
  <c r="AH18" i="2"/>
  <c r="AJ18" i="2" s="1"/>
  <c r="AM17" i="2"/>
  <c r="C19" i="2"/>
  <c r="E19" i="2" s="1"/>
  <c r="G19" i="2" s="1"/>
  <c r="H19" i="2" s="1"/>
  <c r="Z20" i="2"/>
  <c r="AB20" i="2" s="1"/>
  <c r="AE19" i="2"/>
  <c r="AF19" i="2" s="1"/>
  <c r="W19" i="2"/>
  <c r="X19" i="2" s="1"/>
  <c r="R20" i="2"/>
  <c r="T20" i="2" s="1"/>
  <c r="J21" i="2"/>
  <c r="L21" i="2" s="1"/>
  <c r="O20" i="2"/>
  <c r="P20" i="2" l="1"/>
  <c r="AN17" i="2"/>
  <c r="L7" i="1" s="1"/>
  <c r="AH19" i="2"/>
  <c r="AJ19" i="2" s="1"/>
  <c r="AM18" i="2"/>
  <c r="C20" i="2"/>
  <c r="E20" i="2" s="1"/>
  <c r="G20" i="2" s="1"/>
  <c r="H20" i="2" s="1"/>
  <c r="Z21" i="2"/>
  <c r="AB21" i="2" s="1"/>
  <c r="AE20" i="2"/>
  <c r="AF20" i="2" s="1"/>
  <c r="R21" i="2"/>
  <c r="T21" i="2" s="1"/>
  <c r="W20" i="2"/>
  <c r="X20" i="2" s="1"/>
  <c r="J22" i="2"/>
  <c r="L22" i="2" s="1"/>
  <c r="O21" i="2"/>
  <c r="P21" i="2" l="1"/>
  <c r="AN18" i="2"/>
  <c r="AM19" i="2"/>
  <c r="AH20" i="2"/>
  <c r="AJ20" i="2" s="1"/>
  <c r="C21" i="2"/>
  <c r="E21" i="2" s="1"/>
  <c r="G21" i="2" s="1"/>
  <c r="H21" i="2" s="1"/>
  <c r="AE21" i="2"/>
  <c r="AF21" i="2" s="1"/>
  <c r="Z22" i="2"/>
  <c r="AB22" i="2" s="1"/>
  <c r="R22" i="2"/>
  <c r="T22" i="2" s="1"/>
  <c r="W21" i="2"/>
  <c r="X21" i="2" s="1"/>
  <c r="J23" i="2"/>
  <c r="L23" i="2" s="1"/>
  <c r="O22" i="2"/>
  <c r="P22" i="2" l="1"/>
  <c r="M4" i="1" s="1"/>
  <c r="AN19" i="2"/>
  <c r="AH21" i="2"/>
  <c r="AJ21" i="2" s="1"/>
  <c r="AM20" i="2"/>
  <c r="C22" i="2"/>
  <c r="E22" i="2" s="1"/>
  <c r="G22" i="2" s="1"/>
  <c r="H22" i="2" s="1"/>
  <c r="M3" i="1" s="1"/>
  <c r="Z23" i="2"/>
  <c r="AB23" i="2" s="1"/>
  <c r="AE22" i="2"/>
  <c r="AF22" i="2" s="1"/>
  <c r="M6" i="1" s="1"/>
  <c r="W22" i="2"/>
  <c r="X22" i="2" s="1"/>
  <c r="M5" i="1" s="1"/>
  <c r="R23" i="2"/>
  <c r="T23" i="2" s="1"/>
  <c r="J24" i="2"/>
  <c r="L24" i="2" s="1"/>
  <c r="O23" i="2"/>
  <c r="P23" i="2" l="1"/>
  <c r="AN20" i="2"/>
  <c r="AH22" i="2"/>
  <c r="AJ22" i="2" s="1"/>
  <c r="AM21" i="2"/>
  <c r="C23" i="2"/>
  <c r="E23" i="2" s="1"/>
  <c r="G23" i="2" s="1"/>
  <c r="H23" i="2" s="1"/>
  <c r="Z24" i="2"/>
  <c r="AB24" i="2" s="1"/>
  <c r="AE23" i="2"/>
  <c r="AF23" i="2" s="1"/>
  <c r="R24" i="2"/>
  <c r="T24" i="2" s="1"/>
  <c r="W23" i="2"/>
  <c r="X23" i="2" s="1"/>
  <c r="J25" i="2"/>
  <c r="L25" i="2" s="1"/>
  <c r="O24" i="2"/>
  <c r="AN21" i="2" l="1"/>
  <c r="P24" i="2"/>
  <c r="AH23" i="2"/>
  <c r="AJ23" i="2" s="1"/>
  <c r="AM22" i="2"/>
  <c r="C24" i="2"/>
  <c r="E24" i="2" s="1"/>
  <c r="G24" i="2" s="1"/>
  <c r="H24" i="2" s="1"/>
  <c r="AE24" i="2"/>
  <c r="AF24" i="2" s="1"/>
  <c r="Z25" i="2"/>
  <c r="AB25" i="2" s="1"/>
  <c r="R25" i="2"/>
  <c r="T25" i="2" s="1"/>
  <c r="W24" i="2"/>
  <c r="X24" i="2" s="1"/>
  <c r="J26" i="2"/>
  <c r="L26" i="2" s="1"/>
  <c r="O25" i="2"/>
  <c r="AN22" i="2" l="1"/>
  <c r="M7" i="1" s="1"/>
  <c r="P25" i="2"/>
  <c r="AM23" i="2"/>
  <c r="AH24" i="2"/>
  <c r="AJ24" i="2" s="1"/>
  <c r="C25" i="2"/>
  <c r="E25" i="2" s="1"/>
  <c r="G25" i="2" s="1"/>
  <c r="H25" i="2" s="1"/>
  <c r="Z26" i="2"/>
  <c r="AB26" i="2" s="1"/>
  <c r="AE25" i="2"/>
  <c r="AF25" i="2" s="1"/>
  <c r="R26" i="2"/>
  <c r="T26" i="2" s="1"/>
  <c r="W25" i="2"/>
  <c r="X25" i="2" s="1"/>
  <c r="J27" i="2"/>
  <c r="L27" i="2" s="1"/>
  <c r="O27" i="2" s="1"/>
  <c r="O26" i="2"/>
  <c r="AN23" i="2" l="1"/>
  <c r="P26" i="2"/>
  <c r="P27" i="2" s="1"/>
  <c r="N4" i="1" s="1"/>
  <c r="AM24" i="2"/>
  <c r="AH25" i="2"/>
  <c r="AJ25" i="2" s="1"/>
  <c r="C26" i="2"/>
  <c r="E26" i="2" s="1"/>
  <c r="G26" i="2" s="1"/>
  <c r="H26" i="2" s="1"/>
  <c r="AE26" i="2"/>
  <c r="AF26" i="2" s="1"/>
  <c r="Z27" i="2"/>
  <c r="AB27" i="2" s="1"/>
  <c r="AE27" i="2" s="1"/>
  <c r="R27" i="2"/>
  <c r="T27" i="2" s="1"/>
  <c r="W27" i="2" s="1"/>
  <c r="W26" i="2"/>
  <c r="X26" i="2" s="1"/>
  <c r="AN24" i="2" l="1"/>
  <c r="AH26" i="2"/>
  <c r="AJ26" i="2" s="1"/>
  <c r="AM25" i="2"/>
  <c r="C27" i="2"/>
  <c r="E27" i="2" s="1"/>
  <c r="G27" i="2" s="1"/>
  <c r="H27" i="2" s="1"/>
  <c r="N3" i="1" s="1"/>
  <c r="X27" i="2"/>
  <c r="N5" i="1" s="1"/>
  <c r="AF27" i="2"/>
  <c r="N6" i="1" s="1"/>
  <c r="AN25" i="2" l="1"/>
  <c r="AH27" i="2"/>
  <c r="AJ27" i="2" s="1"/>
  <c r="AM27" i="2" s="1"/>
  <c r="AM26" i="2"/>
  <c r="AN26" i="2" l="1"/>
  <c r="AN27" i="2" s="1"/>
  <c r="N7" i="1" s="1"/>
</calcChain>
</file>

<file path=xl/sharedStrings.xml><?xml version="1.0" encoding="utf-8"?>
<sst xmlns="http://schemas.openxmlformats.org/spreadsheetml/2006/main" count="168" uniqueCount="110">
  <si>
    <t>Rechenbeispiel</t>
  </si>
  <si>
    <t>Familie 2 Erwachsene, 2 Kinder</t>
  </si>
  <si>
    <t>Stromverbrauch (ohne WW)</t>
  </si>
  <si>
    <t>Gasverbrauch Heizung</t>
  </si>
  <si>
    <t>Gasverbrauch Warmwasser</t>
  </si>
  <si>
    <t>Nutzenergie</t>
  </si>
  <si>
    <t>Endenergie</t>
  </si>
  <si>
    <t>h</t>
  </si>
  <si>
    <t>WNFL</t>
  </si>
  <si>
    <t>BGFL</t>
  </si>
  <si>
    <t>EKZ</t>
  </si>
  <si>
    <t>-</t>
  </si>
  <si>
    <t>[€/kWh]</t>
  </si>
  <si>
    <t>[kWh]</t>
  </si>
  <si>
    <t>Preis</t>
  </si>
  <si>
    <t>Jahreskosten</t>
  </si>
  <si>
    <t>km/a</t>
  </si>
  <si>
    <t>Durchschnittsverbrauch</t>
  </si>
  <si>
    <t>l/100 km</t>
  </si>
  <si>
    <t>Benzinverbrauch Auto</t>
  </si>
  <si>
    <t>Fahrleistung Auto</t>
  </si>
  <si>
    <t>Stromverbrauch Auto</t>
  </si>
  <si>
    <t>kWh/km</t>
  </si>
  <si>
    <t>Eigenverbrauch PV-Anlage</t>
  </si>
  <si>
    <t>Strombezug</t>
  </si>
  <si>
    <t>Pelletsverbrauch Heizung</t>
  </si>
  <si>
    <t>Pelletsverbrauch WW Winter</t>
  </si>
  <si>
    <t>Sanierungskosten</t>
  </si>
  <si>
    <t>Dämmung Fassade</t>
  </si>
  <si>
    <t>m²</t>
  </si>
  <si>
    <t>Fenstertausch</t>
  </si>
  <si>
    <t>Heizungstausch</t>
  </si>
  <si>
    <t>PA</t>
  </si>
  <si>
    <t>PV-Anlage</t>
  </si>
  <si>
    <t>Speicher</t>
  </si>
  <si>
    <t>maximal 130 m² * 600 €/m² = 78000</t>
  </si>
  <si>
    <t>jährlicher Annuitätenzuschuss</t>
  </si>
  <si>
    <t>Energie</t>
  </si>
  <si>
    <t>Gesamt</t>
  </si>
  <si>
    <t>Summiert</t>
  </si>
  <si>
    <t>Annuität</t>
  </si>
  <si>
    <t>Zuschuss</t>
  </si>
  <si>
    <t>Betrag</t>
  </si>
  <si>
    <t>Zinssatz</t>
  </si>
  <si>
    <t>Laufzeit</t>
  </si>
  <si>
    <t>Kreditfinanzierung 10 Jahre</t>
  </si>
  <si>
    <t>Bestand</t>
  </si>
  <si>
    <t>Kreditfinanzierung 20 Jahre</t>
  </si>
  <si>
    <t>Gesamttilgung</t>
  </si>
  <si>
    <t>Annahme: 120 Punkte</t>
  </si>
  <si>
    <t>Einfamilienhaus</t>
  </si>
  <si>
    <t>Summe Stromverbrauch</t>
  </si>
  <si>
    <t>Sanierung gesamt</t>
  </si>
  <si>
    <t>Eigenheimsanierung Land NÖ</t>
  </si>
  <si>
    <t>Zukünftig</t>
  </si>
  <si>
    <t>Maßnahmen: Dämmung Fassade, Fenstertausch, Heizungstausch, PV-Anlage, Solaranlage, E-Auto</t>
  </si>
  <si>
    <t>EKZ neu</t>
  </si>
  <si>
    <t>kWh/m2.a</t>
  </si>
  <si>
    <t>Fahrleistung e-Auto</t>
  </si>
  <si>
    <t>nicht berücksichtigt:</t>
  </si>
  <si>
    <t>E-Preis</t>
  </si>
  <si>
    <t>Steig.</t>
  </si>
  <si>
    <t>€</t>
  </si>
  <si>
    <t>Reinvest</t>
  </si>
  <si>
    <t>Brauchwasser WP</t>
  </si>
  <si>
    <t>Stromverbrauch WW Sommer</t>
  </si>
  <si>
    <t>Gasheizung bleibt, muss später getauscht werden</t>
  </si>
  <si>
    <t>kWh/l</t>
  </si>
  <si>
    <t>angenomme Werte</t>
  </si>
  <si>
    <t>Legende:</t>
  </si>
  <si>
    <t>Fassade</t>
  </si>
  <si>
    <t>ob. Geschoßd.</t>
  </si>
  <si>
    <t>Enegiegehalt Benzin</t>
  </si>
  <si>
    <t>Dämmung oberste Geschoßdecke</t>
  </si>
  <si>
    <t>Eingangstür</t>
  </si>
  <si>
    <t>Stk</t>
  </si>
  <si>
    <t>quadratisch, 3,5 m Geschoßhöhe</t>
  </si>
  <si>
    <t>fiktive Bundesförderung</t>
  </si>
  <si>
    <t>Direktzuschuss</t>
  </si>
  <si>
    <t>Sanierungsscheck 2022 inkl. Zuschlag nachwachsende Rohstoffe</t>
  </si>
  <si>
    <t>max.</t>
  </si>
  <si>
    <t>gewählt</t>
  </si>
  <si>
    <t>Kredit Laufzeit 10 Jahre</t>
  </si>
  <si>
    <t>Kredit über Gesamtsumme</t>
  </si>
  <si>
    <t>abzügl. Direktzuschuss</t>
  </si>
  <si>
    <t>reduzierte Kreditsumme</t>
  </si>
  <si>
    <t>Direktzuschuss, Kredit 20 Jahre</t>
  </si>
  <si>
    <t>Direktzuschuss, Kredit 10 Jahre</t>
  </si>
  <si>
    <t xml:space="preserve">Investition + Reinvestition + Versicherung + Wartung Auto </t>
  </si>
  <si>
    <t xml:space="preserve">       (Annahme: langfristig etwa gleich bei e-Auto und Verbrenner)</t>
  </si>
  <si>
    <t xml:space="preserve">Öko-Sonderausgabenpauschale </t>
  </si>
  <si>
    <t xml:space="preserve">       (€1.200 jährliche Sonderausgabe über 5 Jahre, ergibt ca. € 360-660 jährliche Steuerersparnis)</t>
  </si>
  <si>
    <t>Kesseltauschförderung 2022 inkl. Zuschlag Gas</t>
  </si>
  <si>
    <t>Valorisierung (VPI 05/22-05/25)</t>
  </si>
  <si>
    <t>bezogen auf Investitionskosten</t>
  </si>
  <si>
    <t>[€]</t>
  </si>
  <si>
    <t>im Jahr 2030</t>
  </si>
  <si>
    <t>Preisteigerung Energiekosten</t>
  </si>
  <si>
    <t>jährlich</t>
  </si>
  <si>
    <t>Fenster (12% der WNFL)</t>
  </si>
  <si>
    <t>Vorschau Ergebnisse</t>
  </si>
  <si>
    <t>10 Jahre</t>
  </si>
  <si>
    <t>15 Jahre</t>
  </si>
  <si>
    <t>20 Jahre</t>
  </si>
  <si>
    <t>25 Jahre</t>
  </si>
  <si>
    <t>aufsummierte Jahreskosten</t>
  </si>
  <si>
    <t>Einspeisung PV-Strom</t>
  </si>
  <si>
    <t>Erzeugung PV-Anlage</t>
  </si>
  <si>
    <t>kWh/a</t>
  </si>
  <si>
    <t>5 Jahre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</si>
</sst>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1"/>
      <name val="Symbol"/>
      <family val="1"/>
      <charset val="2"/>
    </font>
    <font>
      <b/>
      <sz val="14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7">
    <xf numFmtId="0" fontId="0" fillId="0" borderId="0" xfId="0"/>
    <xf numFmtId="0" fontId="3" fillId="0" borderId="0" xfId="0" applyFont="1"/>
    <xf numFmtId="3" fontId="0" fillId="0" borderId="0" xfId="0" applyNumberFormat="1"/>
    <xf numFmtId="9" fontId="0" fillId="0" borderId="0" xfId="0" applyNumberFormat="1"/>
    <xf numFmtId="10" fontId="0" fillId="0" borderId="0" xfId="0" applyNumberFormat="1"/>
    <xf numFmtId="0" fontId="2" fillId="0" borderId="0" xfId="0" applyFont="1"/>
    <xf numFmtId="3" fontId="0" fillId="2" borderId="0" xfId="0" applyNumberFormat="1" applyFill="1"/>
    <xf numFmtId="0" fontId="0" fillId="2" borderId="0" xfId="0" applyFill="1"/>
    <xf numFmtId="3" fontId="2" fillId="0" borderId="0" xfId="0" applyNumberFormat="1" applyFont="1"/>
    <xf numFmtId="3" fontId="0" fillId="0" borderId="1" xfId="0" applyNumberFormat="1" applyBorder="1"/>
    <xf numFmtId="0" fontId="4" fillId="0" borderId="0" xfId="0" applyFont="1"/>
    <xf numFmtId="0" fontId="2" fillId="3" borderId="0" xfId="0" applyFont="1" applyFill="1"/>
    <xf numFmtId="3" fontId="2" fillId="3" borderId="0" xfId="0" applyNumberFormat="1" applyFont="1" applyFill="1"/>
    <xf numFmtId="1" fontId="0" fillId="4" borderId="2" xfId="0" applyNumberFormat="1" applyFill="1" applyBorder="1"/>
    <xf numFmtId="3" fontId="0" fillId="2" borderId="1" xfId="0" applyNumberFormat="1" applyFill="1" applyBorder="1"/>
    <xf numFmtId="0" fontId="5" fillId="0" borderId="0" xfId="0" applyFont="1"/>
    <xf numFmtId="0" fontId="2" fillId="5" borderId="0" xfId="0" applyFont="1" applyFill="1"/>
    <xf numFmtId="10" fontId="0" fillId="2" borderId="0" xfId="0" applyNumberFormat="1" applyFill="1"/>
    <xf numFmtId="4" fontId="0" fillId="2" borderId="0" xfId="0" applyNumberFormat="1" applyFill="1"/>
    <xf numFmtId="0" fontId="0" fillId="0" borderId="3" xfId="0" applyBorder="1"/>
    <xf numFmtId="0" fontId="0" fillId="2" borderId="4" xfId="0" applyFill="1" applyBorder="1" applyAlignment="1">
      <alignment horizontal="right"/>
    </xf>
    <xf numFmtId="0" fontId="0" fillId="2" borderId="5" xfId="0" applyFill="1" applyBorder="1" applyAlignment="1">
      <alignment horizontal="right"/>
    </xf>
    <xf numFmtId="0" fontId="0" fillId="0" borderId="0" xfId="0" applyAlignment="1">
      <alignment horizontal="right"/>
    </xf>
    <xf numFmtId="9" fontId="0" fillId="2" borderId="0" xfId="1" applyFont="1" applyFill="1"/>
    <xf numFmtId="9" fontId="0" fillId="0" borderId="0" xfId="1" applyFont="1" applyFill="1"/>
    <xf numFmtId="3" fontId="0" fillId="0" borderId="0" xfId="0" applyNumberFormat="1" applyAlignment="1">
      <alignment horizontal="right"/>
    </xf>
    <xf numFmtId="3" fontId="0" fillId="6" borderId="0" xfId="0" applyNumberFormat="1" applyFill="1"/>
    <xf numFmtId="0" fontId="2" fillId="0" borderId="6" xfId="0" applyFont="1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3" fontId="0" fillId="0" borderId="10" xfId="0" applyNumberFormat="1" applyBorder="1"/>
    <xf numFmtId="0" fontId="0" fillId="0" borderId="11" xfId="0" applyBorder="1"/>
    <xf numFmtId="3" fontId="0" fillId="0" borderId="12" xfId="0" applyNumberFormat="1" applyBorder="1"/>
    <xf numFmtId="0" fontId="0" fillId="0" borderId="1" xfId="0" applyBorder="1"/>
    <xf numFmtId="0" fontId="0" fillId="0" borderId="12" xfId="0" applyBorder="1"/>
    <xf numFmtId="3" fontId="2" fillId="2" borderId="0" xfId="0" applyNumberFormat="1" applyFont="1" applyFill="1"/>
  </cellXfs>
  <cellStyles count="2">
    <cellStyle name="Prozent" xfId="1" builtinId="5"/>
    <cellStyle name="Standard" xfId="0" builtinId="0"/>
  </cellStyles>
  <dxfs count="0"/>
  <tableStyles count="0" defaultTableStyle="TableStyleMedium2" defaultPivotStyle="PivotStyleLight16"/>
  <colors>
    <mruColors>
      <color rgb="FFFFDB69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2.xml"/><Relationship Id="rId7" Type="http://schemas.openxmlformats.org/officeDocument/2006/relationships/calcChain" Target="calcChain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AT"/>
              <a:t>aufsummierte Jahreskosten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5.9967902870921845E-2"/>
          <c:y val="7.854135833799647E-2"/>
          <c:w val="0.91251922624492121"/>
          <c:h val="0.78171180520586647"/>
        </c:manualLayout>
      </c:layout>
      <c:scatterChart>
        <c:scatterStyle val="lineMarker"/>
        <c:varyColors val="0"/>
        <c:ser>
          <c:idx val="1"/>
          <c:order val="0"/>
          <c:tx>
            <c:strRef>
              <c:f>Jahreskosten!$C$1</c:f>
              <c:strCache>
                <c:ptCount val="1"/>
                <c:pt idx="0">
                  <c:v>Bestand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Jahreskosten!$A$3:$A$27</c:f>
              <c:numCache>
                <c:formatCode>General</c:formatCode>
                <c:ptCount val="25"/>
                <c:pt idx="0">
                  <c:v>2026</c:v>
                </c:pt>
                <c:pt idx="1">
                  <c:v>2027</c:v>
                </c:pt>
                <c:pt idx="2">
                  <c:v>2028</c:v>
                </c:pt>
                <c:pt idx="3">
                  <c:v>2029</c:v>
                </c:pt>
                <c:pt idx="4">
                  <c:v>2030</c:v>
                </c:pt>
                <c:pt idx="5">
                  <c:v>2031</c:v>
                </c:pt>
                <c:pt idx="6">
                  <c:v>2032</c:v>
                </c:pt>
                <c:pt idx="7">
                  <c:v>2033</c:v>
                </c:pt>
                <c:pt idx="8">
                  <c:v>2034</c:v>
                </c:pt>
                <c:pt idx="9">
                  <c:v>2035</c:v>
                </c:pt>
                <c:pt idx="10">
                  <c:v>2036</c:v>
                </c:pt>
                <c:pt idx="11">
                  <c:v>2037</c:v>
                </c:pt>
                <c:pt idx="12">
                  <c:v>2038</c:v>
                </c:pt>
                <c:pt idx="13">
                  <c:v>2039</c:v>
                </c:pt>
                <c:pt idx="14">
                  <c:v>2040</c:v>
                </c:pt>
                <c:pt idx="15">
                  <c:v>2041</c:v>
                </c:pt>
                <c:pt idx="16">
                  <c:v>2042</c:v>
                </c:pt>
                <c:pt idx="17">
                  <c:v>2043</c:v>
                </c:pt>
                <c:pt idx="18">
                  <c:v>2044</c:v>
                </c:pt>
                <c:pt idx="19">
                  <c:v>2045</c:v>
                </c:pt>
                <c:pt idx="20">
                  <c:v>2046</c:v>
                </c:pt>
                <c:pt idx="21">
                  <c:v>2047</c:v>
                </c:pt>
                <c:pt idx="22">
                  <c:v>2048</c:v>
                </c:pt>
                <c:pt idx="23">
                  <c:v>2049</c:v>
                </c:pt>
                <c:pt idx="24">
                  <c:v>2050</c:v>
                </c:pt>
              </c:numCache>
            </c:numRef>
          </c:xVal>
          <c:yVal>
            <c:numRef>
              <c:f>Jahreskosten!$H$3:$H$27</c:f>
              <c:numCache>
                <c:formatCode>#,##0</c:formatCode>
                <c:ptCount val="25"/>
                <c:pt idx="0">
                  <c:v>6592.5150000000003</c:v>
                </c:pt>
                <c:pt idx="1">
                  <c:v>13382.80545</c:v>
                </c:pt>
                <c:pt idx="2">
                  <c:v>20376.8046135</c:v>
                </c:pt>
                <c:pt idx="3">
                  <c:v>27580.623751905001</c:v>
                </c:pt>
                <c:pt idx="4">
                  <c:v>45000.557464462152</c:v>
                </c:pt>
                <c:pt idx="5">
                  <c:v>52643.089188396014</c:v>
                </c:pt>
                <c:pt idx="6">
                  <c:v>60514.8968640479</c:v>
                </c:pt>
                <c:pt idx="7">
                  <c:v>68622.858769969345</c:v>
                </c:pt>
                <c:pt idx="8">
                  <c:v>76974.05953306843</c:v>
                </c:pt>
                <c:pt idx="9">
                  <c:v>85575.796319060493</c:v>
                </c:pt>
                <c:pt idx="10">
                  <c:v>94435.585208632314</c:v>
                </c:pt>
                <c:pt idx="11">
                  <c:v>103561.16776489129</c:v>
                </c:pt>
                <c:pt idx="12">
                  <c:v>112960.51779783802</c:v>
                </c:pt>
                <c:pt idx="13">
                  <c:v>122641.84833177317</c:v>
                </c:pt>
                <c:pt idx="14">
                  <c:v>132613.61878172637</c:v>
                </c:pt>
                <c:pt idx="15">
                  <c:v>142884.54234517817</c:v>
                </c:pt>
                <c:pt idx="16">
                  <c:v>153463.59361553352</c:v>
                </c:pt>
                <c:pt idx="17">
                  <c:v>164360.01642399954</c:v>
                </c:pt>
                <c:pt idx="18">
                  <c:v>175583.33191671953</c:v>
                </c:pt>
                <c:pt idx="19">
                  <c:v>187143.34687422111</c:v>
                </c:pt>
                <c:pt idx="20">
                  <c:v>199050.16228044775</c:v>
                </c:pt>
                <c:pt idx="21">
                  <c:v>211314.1821488612</c:v>
                </c:pt>
                <c:pt idx="22">
                  <c:v>223946.12261332705</c:v>
                </c:pt>
                <c:pt idx="23">
                  <c:v>236957.02129172688</c:v>
                </c:pt>
                <c:pt idx="24">
                  <c:v>250358.24693047869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4D8-41CA-AAA2-F7067ACC0349}"/>
            </c:ext>
          </c:extLst>
        </c:ser>
        <c:ser>
          <c:idx val="2"/>
          <c:order val="1"/>
          <c:tx>
            <c:strRef>
              <c:f>Jahreskosten!$J$1</c:f>
              <c:strCache>
                <c:ptCount val="1"/>
                <c:pt idx="0">
                  <c:v>Kreditfinanzierung 10 Jahre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Jahreskosten!$A$3:$A$27</c:f>
              <c:numCache>
                <c:formatCode>General</c:formatCode>
                <c:ptCount val="25"/>
                <c:pt idx="0">
                  <c:v>2026</c:v>
                </c:pt>
                <c:pt idx="1">
                  <c:v>2027</c:v>
                </c:pt>
                <c:pt idx="2">
                  <c:v>2028</c:v>
                </c:pt>
                <c:pt idx="3">
                  <c:v>2029</c:v>
                </c:pt>
                <c:pt idx="4">
                  <c:v>2030</c:v>
                </c:pt>
                <c:pt idx="5">
                  <c:v>2031</c:v>
                </c:pt>
                <c:pt idx="6">
                  <c:v>2032</c:v>
                </c:pt>
                <c:pt idx="7">
                  <c:v>2033</c:v>
                </c:pt>
                <c:pt idx="8">
                  <c:v>2034</c:v>
                </c:pt>
                <c:pt idx="9">
                  <c:v>2035</c:v>
                </c:pt>
                <c:pt idx="10">
                  <c:v>2036</c:v>
                </c:pt>
                <c:pt idx="11">
                  <c:v>2037</c:v>
                </c:pt>
                <c:pt idx="12">
                  <c:v>2038</c:v>
                </c:pt>
                <c:pt idx="13">
                  <c:v>2039</c:v>
                </c:pt>
                <c:pt idx="14">
                  <c:v>2040</c:v>
                </c:pt>
                <c:pt idx="15">
                  <c:v>2041</c:v>
                </c:pt>
                <c:pt idx="16">
                  <c:v>2042</c:v>
                </c:pt>
                <c:pt idx="17">
                  <c:v>2043</c:v>
                </c:pt>
                <c:pt idx="18">
                  <c:v>2044</c:v>
                </c:pt>
                <c:pt idx="19">
                  <c:v>2045</c:v>
                </c:pt>
                <c:pt idx="20">
                  <c:v>2046</c:v>
                </c:pt>
                <c:pt idx="21">
                  <c:v>2047</c:v>
                </c:pt>
                <c:pt idx="22">
                  <c:v>2048</c:v>
                </c:pt>
                <c:pt idx="23">
                  <c:v>2049</c:v>
                </c:pt>
                <c:pt idx="24">
                  <c:v>2050</c:v>
                </c:pt>
              </c:numCache>
            </c:numRef>
          </c:xVal>
          <c:yVal>
            <c:numRef>
              <c:f>Jahreskosten!$P$3:$P$27</c:f>
              <c:numCache>
                <c:formatCode>#,##0</c:formatCode>
                <c:ptCount val="25"/>
                <c:pt idx="0">
                  <c:v>11159.818493010865</c:v>
                </c:pt>
                <c:pt idx="1">
                  <c:v>22363.059211021733</c:v>
                </c:pt>
                <c:pt idx="2">
                  <c:v>33611.024820782601</c:v>
                </c:pt>
                <c:pt idx="3">
                  <c:v>44905.057069045972</c:v>
                </c:pt>
                <c:pt idx="4">
                  <c:v>56246.537954966916</c:v>
                </c:pt>
                <c:pt idx="5">
                  <c:v>67636.890937675154</c:v>
                </c:pt>
                <c:pt idx="6">
                  <c:v>79077.582180074314</c:v>
                </c:pt>
                <c:pt idx="7">
                  <c:v>90570.121829955126</c:v>
                </c:pt>
                <c:pt idx="8">
                  <c:v>102116.06533954204</c:v>
                </c:pt>
                <c:pt idx="9">
                  <c:v>113717.01482462624</c:v>
                </c:pt>
                <c:pt idx="10">
                  <c:v>115662.20947146177</c:v>
                </c:pt>
                <c:pt idx="11">
                  <c:v>117665.75995770236</c:v>
                </c:pt>
                <c:pt idx="12">
                  <c:v>119729.41695853017</c:v>
                </c:pt>
                <c:pt idx="13">
                  <c:v>121854.98366938281</c:v>
                </c:pt>
                <c:pt idx="14">
                  <c:v>124044.31738156104</c:v>
                </c:pt>
                <c:pt idx="15">
                  <c:v>126299.3311051046</c:v>
                </c:pt>
                <c:pt idx="16">
                  <c:v>128621.99524035449</c:v>
                </c:pt>
                <c:pt idx="17">
                  <c:v>131014.33929966186</c:v>
                </c:pt>
                <c:pt idx="18">
                  <c:v>133478.45368074847</c:v>
                </c:pt>
                <c:pt idx="19">
                  <c:v>136016.49149326768</c:v>
                </c:pt>
                <c:pt idx="20">
                  <c:v>138630.67044016244</c:v>
                </c:pt>
                <c:pt idx="21">
                  <c:v>141323.27475546405</c:v>
                </c:pt>
                <c:pt idx="22">
                  <c:v>144096.65720022473</c:v>
                </c:pt>
                <c:pt idx="23">
                  <c:v>146953.24111832821</c:v>
                </c:pt>
                <c:pt idx="24">
                  <c:v>149895.52255397479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4D8-41CA-AAA2-F7067ACC0349}"/>
            </c:ext>
          </c:extLst>
        </c:ser>
        <c:ser>
          <c:idx val="0"/>
          <c:order val="2"/>
          <c:tx>
            <c:strRef>
              <c:f>Jahreskosten!$R$1</c:f>
              <c:strCache>
                <c:ptCount val="1"/>
                <c:pt idx="0">
                  <c:v>Kreditfinanzierung 20 Jahre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xVal>
            <c:numRef>
              <c:f>Jahreskosten!$A$3:$A$27</c:f>
              <c:numCache>
                <c:formatCode>General</c:formatCode>
                <c:ptCount val="25"/>
                <c:pt idx="0">
                  <c:v>2026</c:v>
                </c:pt>
                <c:pt idx="1">
                  <c:v>2027</c:v>
                </c:pt>
                <c:pt idx="2">
                  <c:v>2028</c:v>
                </c:pt>
                <c:pt idx="3">
                  <c:v>2029</c:v>
                </c:pt>
                <c:pt idx="4">
                  <c:v>2030</c:v>
                </c:pt>
                <c:pt idx="5">
                  <c:v>2031</c:v>
                </c:pt>
                <c:pt idx="6">
                  <c:v>2032</c:v>
                </c:pt>
                <c:pt idx="7">
                  <c:v>2033</c:v>
                </c:pt>
                <c:pt idx="8">
                  <c:v>2034</c:v>
                </c:pt>
                <c:pt idx="9">
                  <c:v>2035</c:v>
                </c:pt>
                <c:pt idx="10">
                  <c:v>2036</c:v>
                </c:pt>
                <c:pt idx="11">
                  <c:v>2037</c:v>
                </c:pt>
                <c:pt idx="12">
                  <c:v>2038</c:v>
                </c:pt>
                <c:pt idx="13">
                  <c:v>2039</c:v>
                </c:pt>
                <c:pt idx="14">
                  <c:v>2040</c:v>
                </c:pt>
                <c:pt idx="15">
                  <c:v>2041</c:v>
                </c:pt>
                <c:pt idx="16">
                  <c:v>2042</c:v>
                </c:pt>
                <c:pt idx="17">
                  <c:v>2043</c:v>
                </c:pt>
                <c:pt idx="18">
                  <c:v>2044</c:v>
                </c:pt>
                <c:pt idx="19">
                  <c:v>2045</c:v>
                </c:pt>
                <c:pt idx="20">
                  <c:v>2046</c:v>
                </c:pt>
                <c:pt idx="21">
                  <c:v>2047</c:v>
                </c:pt>
                <c:pt idx="22">
                  <c:v>2048</c:v>
                </c:pt>
                <c:pt idx="23">
                  <c:v>2049</c:v>
                </c:pt>
                <c:pt idx="24">
                  <c:v>2050</c:v>
                </c:pt>
              </c:numCache>
            </c:numRef>
          </c:xVal>
          <c:yVal>
            <c:numRef>
              <c:f>Jahreskosten!$X$3:$X$27</c:f>
              <c:numCache>
                <c:formatCode>#,##0</c:formatCode>
                <c:ptCount val="25"/>
                <c:pt idx="0">
                  <c:v>5917.7270008399919</c:v>
                </c:pt>
                <c:pt idx="1">
                  <c:v>11878.876226679984</c:v>
                </c:pt>
                <c:pt idx="2">
                  <c:v>17884.750344269974</c:v>
                </c:pt>
                <c:pt idx="3">
                  <c:v>23936.691100362466</c:v>
                </c:pt>
                <c:pt idx="4">
                  <c:v>30036.080494112535</c:v>
                </c:pt>
                <c:pt idx="5">
                  <c:v>36184.341984649902</c:v>
                </c:pt>
                <c:pt idx="6">
                  <c:v>42382.941734878194</c:v>
                </c:pt>
                <c:pt idx="7">
                  <c:v>48633.389892588137</c:v>
                </c:pt>
                <c:pt idx="8">
                  <c:v>54937.241910004173</c:v>
                </c:pt>
                <c:pt idx="9">
                  <c:v>61296.099902917493</c:v>
                </c:pt>
                <c:pt idx="10">
                  <c:v>71455.614050593009</c:v>
                </c:pt>
                <c:pt idx="11">
                  <c:v>81673.484037673596</c:v>
                </c:pt>
                <c:pt idx="12">
                  <c:v>91951.460539341395</c:v>
                </c:pt>
                <c:pt idx="13">
                  <c:v>102291.34675103403</c:v>
                </c:pt>
                <c:pt idx="14">
                  <c:v>112694.99996405224</c:v>
                </c:pt>
                <c:pt idx="15">
                  <c:v>123164.3331884358</c:v>
                </c:pt>
                <c:pt idx="16">
                  <c:v>133701.31682452568</c:v>
                </c:pt>
                <c:pt idx="17">
                  <c:v>144307.98038467305</c:v>
                </c:pt>
                <c:pt idx="18">
                  <c:v>154986.41426659963</c:v>
                </c:pt>
                <c:pt idx="19">
                  <c:v>165738.77157995882</c:v>
                </c:pt>
                <c:pt idx="20">
                  <c:v>168352.95052685359</c:v>
                </c:pt>
                <c:pt idx="21">
                  <c:v>171045.55484215519</c:v>
                </c:pt>
                <c:pt idx="22">
                  <c:v>173818.93728691587</c:v>
                </c:pt>
                <c:pt idx="23">
                  <c:v>176675.52120501935</c:v>
                </c:pt>
                <c:pt idx="24">
                  <c:v>179617.80264066593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4D8-41CA-AAA2-F7067ACC0349}"/>
            </c:ext>
          </c:extLst>
        </c:ser>
        <c:ser>
          <c:idx val="3"/>
          <c:order val="3"/>
          <c:tx>
            <c:strRef>
              <c:f>Jahreskosten!$Z$1</c:f>
              <c:strCache>
                <c:ptCount val="1"/>
                <c:pt idx="0">
                  <c:v>Direktzuschuss, Kredit 10 Jahre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  <a:lumOff val="40000"/>
                </a:schemeClr>
              </a:solidFill>
              <a:prstDash val="lgDash"/>
              <a:round/>
            </a:ln>
            <a:effectLst/>
          </c:spPr>
          <c:marker>
            <c:symbol val="none"/>
          </c:marker>
          <c:xVal>
            <c:numRef>
              <c:f>Jahreskosten!$A$3:$A$27</c:f>
              <c:numCache>
                <c:formatCode>General</c:formatCode>
                <c:ptCount val="25"/>
                <c:pt idx="0">
                  <c:v>2026</c:v>
                </c:pt>
                <c:pt idx="1">
                  <c:v>2027</c:v>
                </c:pt>
                <c:pt idx="2">
                  <c:v>2028</c:v>
                </c:pt>
                <c:pt idx="3">
                  <c:v>2029</c:v>
                </c:pt>
                <c:pt idx="4">
                  <c:v>2030</c:v>
                </c:pt>
                <c:pt idx="5">
                  <c:v>2031</c:v>
                </c:pt>
                <c:pt idx="6">
                  <c:v>2032</c:v>
                </c:pt>
                <c:pt idx="7">
                  <c:v>2033</c:v>
                </c:pt>
                <c:pt idx="8">
                  <c:v>2034</c:v>
                </c:pt>
                <c:pt idx="9">
                  <c:v>2035</c:v>
                </c:pt>
                <c:pt idx="10">
                  <c:v>2036</c:v>
                </c:pt>
                <c:pt idx="11">
                  <c:v>2037</c:v>
                </c:pt>
                <c:pt idx="12">
                  <c:v>2038</c:v>
                </c:pt>
                <c:pt idx="13">
                  <c:v>2039</c:v>
                </c:pt>
                <c:pt idx="14">
                  <c:v>2040</c:v>
                </c:pt>
                <c:pt idx="15">
                  <c:v>2041</c:v>
                </c:pt>
                <c:pt idx="16">
                  <c:v>2042</c:v>
                </c:pt>
                <c:pt idx="17">
                  <c:v>2043</c:v>
                </c:pt>
                <c:pt idx="18">
                  <c:v>2044</c:v>
                </c:pt>
                <c:pt idx="19">
                  <c:v>2045</c:v>
                </c:pt>
                <c:pt idx="20">
                  <c:v>2046</c:v>
                </c:pt>
                <c:pt idx="21">
                  <c:v>2047</c:v>
                </c:pt>
                <c:pt idx="22">
                  <c:v>2048</c:v>
                </c:pt>
                <c:pt idx="23">
                  <c:v>2049</c:v>
                </c:pt>
                <c:pt idx="24">
                  <c:v>2050</c:v>
                </c:pt>
              </c:numCache>
            </c:numRef>
          </c:xVal>
          <c:yVal>
            <c:numRef>
              <c:f>Jahreskosten!$AF$3:$AF$27</c:f>
              <c:numCache>
                <c:formatCode>#,##0</c:formatCode>
                <c:ptCount val="25"/>
                <c:pt idx="0">
                  <c:v>8672.4966828424967</c:v>
                </c:pt>
                <c:pt idx="1">
                  <c:v>17388.415590684992</c:v>
                </c:pt>
                <c:pt idx="2">
                  <c:v>26149.059390277489</c:v>
                </c:pt>
                <c:pt idx="3">
                  <c:v>34955.769828372489</c:v>
                </c:pt>
                <c:pt idx="4">
                  <c:v>43809.928904125059</c:v>
                </c:pt>
                <c:pt idx="5">
                  <c:v>52712.960076664938</c:v>
                </c:pt>
                <c:pt idx="6">
                  <c:v>61666.329508895738</c:v>
                </c:pt>
                <c:pt idx="7">
                  <c:v>70671.54734860819</c:v>
                </c:pt>
                <c:pt idx="8">
                  <c:v>79730.169048026728</c:v>
                </c:pt>
                <c:pt idx="9">
                  <c:v>88843.796722942556</c:v>
                </c:pt>
                <c:pt idx="10">
                  <c:v>90788.991369778087</c:v>
                </c:pt>
                <c:pt idx="11">
                  <c:v>92792.541856018681</c:v>
                </c:pt>
                <c:pt idx="12">
                  <c:v>94856.198856846488</c:v>
                </c:pt>
                <c:pt idx="13">
                  <c:v>96981.765567699127</c:v>
                </c:pt>
                <c:pt idx="14">
                  <c:v>99171.099279877351</c:v>
                </c:pt>
                <c:pt idx="15">
                  <c:v>101426.11300342092</c:v>
                </c:pt>
                <c:pt idx="16">
                  <c:v>103748.7771386708</c:v>
                </c:pt>
                <c:pt idx="17">
                  <c:v>106141.12119797818</c:v>
                </c:pt>
                <c:pt idx="18">
                  <c:v>108605.23557906477</c:v>
                </c:pt>
                <c:pt idx="19">
                  <c:v>111143.27339158396</c:v>
                </c:pt>
                <c:pt idx="20">
                  <c:v>113757.45233847873</c:v>
                </c:pt>
                <c:pt idx="21">
                  <c:v>116450.05665378034</c:v>
                </c:pt>
                <c:pt idx="22">
                  <c:v>119223.439098541</c:v>
                </c:pt>
                <c:pt idx="23">
                  <c:v>122080.02301664448</c:v>
                </c:pt>
                <c:pt idx="24">
                  <c:v>125022.30445229106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4D8-41CA-AAA2-F7067ACC0349}"/>
            </c:ext>
          </c:extLst>
        </c:ser>
        <c:ser>
          <c:idx val="4"/>
          <c:order val="4"/>
          <c:tx>
            <c:strRef>
              <c:f>Jahreskosten!$AH$1</c:f>
              <c:strCache>
                <c:ptCount val="1"/>
                <c:pt idx="0">
                  <c:v>Direktzuschuss, Kredit 20 Jahre</c:v>
                </c:pt>
              </c:strCache>
            </c:strRef>
          </c:tx>
          <c:spPr>
            <a:ln w="28575" cap="rnd">
              <a:solidFill>
                <a:srgbClr val="00B0F0"/>
              </a:solidFill>
              <a:prstDash val="lgDash"/>
              <a:round/>
            </a:ln>
            <a:effectLst/>
          </c:spPr>
          <c:marker>
            <c:symbol val="none"/>
          </c:marker>
          <c:xVal>
            <c:numRef>
              <c:f>Jahreskosten!$A$3:$A$27</c:f>
              <c:numCache>
                <c:formatCode>General</c:formatCode>
                <c:ptCount val="25"/>
                <c:pt idx="0">
                  <c:v>2026</c:v>
                </c:pt>
                <c:pt idx="1">
                  <c:v>2027</c:v>
                </c:pt>
                <c:pt idx="2">
                  <c:v>2028</c:v>
                </c:pt>
                <c:pt idx="3">
                  <c:v>2029</c:v>
                </c:pt>
                <c:pt idx="4">
                  <c:v>2030</c:v>
                </c:pt>
                <c:pt idx="5">
                  <c:v>2031</c:v>
                </c:pt>
                <c:pt idx="6">
                  <c:v>2032</c:v>
                </c:pt>
                <c:pt idx="7">
                  <c:v>2033</c:v>
                </c:pt>
                <c:pt idx="8">
                  <c:v>2034</c:v>
                </c:pt>
                <c:pt idx="9">
                  <c:v>2035</c:v>
                </c:pt>
                <c:pt idx="10">
                  <c:v>2036</c:v>
                </c:pt>
                <c:pt idx="11">
                  <c:v>2037</c:v>
                </c:pt>
                <c:pt idx="12">
                  <c:v>2038</c:v>
                </c:pt>
                <c:pt idx="13">
                  <c:v>2039</c:v>
                </c:pt>
                <c:pt idx="14">
                  <c:v>2040</c:v>
                </c:pt>
                <c:pt idx="15">
                  <c:v>2041</c:v>
                </c:pt>
                <c:pt idx="16">
                  <c:v>2042</c:v>
                </c:pt>
                <c:pt idx="17">
                  <c:v>2043</c:v>
                </c:pt>
                <c:pt idx="18">
                  <c:v>2044</c:v>
                </c:pt>
                <c:pt idx="19">
                  <c:v>2045</c:v>
                </c:pt>
                <c:pt idx="20">
                  <c:v>2046</c:v>
                </c:pt>
                <c:pt idx="21">
                  <c:v>2047</c:v>
                </c:pt>
                <c:pt idx="22">
                  <c:v>2048</c:v>
                </c:pt>
                <c:pt idx="23">
                  <c:v>2049</c:v>
                </c:pt>
                <c:pt idx="24">
                  <c:v>2050</c:v>
                </c:pt>
              </c:numCache>
            </c:numRef>
          </c:xVal>
          <c:yVal>
            <c:numRef>
              <c:f>Jahreskosten!$AN$3:$AN$27</c:f>
              <c:numCache>
                <c:formatCode>#,##0</c:formatCode>
                <c:ptCount val="25"/>
                <c:pt idx="0">
                  <c:v>4399.3684979120826</c:v>
                </c:pt>
                <c:pt idx="1">
                  <c:v>8842.1592208241655</c:v>
                </c:pt>
                <c:pt idx="2">
                  <c:v>13329.674835486248</c:v>
                </c:pt>
                <c:pt idx="3">
                  <c:v>17863.257088650833</c:v>
                </c:pt>
                <c:pt idx="4">
                  <c:v>22444.287979472989</c:v>
                </c:pt>
                <c:pt idx="5">
                  <c:v>27074.19096708245</c:v>
                </c:pt>
                <c:pt idx="6">
                  <c:v>31754.432214382832</c:v>
                </c:pt>
                <c:pt idx="7">
                  <c:v>36486.521869164862</c:v>
                </c:pt>
                <c:pt idx="8">
                  <c:v>41272.015383652993</c:v>
                </c:pt>
                <c:pt idx="9">
                  <c:v>46112.5148736384</c:v>
                </c:pt>
                <c:pt idx="10">
                  <c:v>54753.67051838601</c:v>
                </c:pt>
                <c:pt idx="11">
                  <c:v>63453.182002538684</c:v>
                </c:pt>
                <c:pt idx="12">
                  <c:v>72212.800001278578</c:v>
                </c:pt>
                <c:pt idx="13">
                  <c:v>81034.327710043304</c:v>
                </c:pt>
                <c:pt idx="14">
                  <c:v>89919.622420133615</c:v>
                </c:pt>
                <c:pt idx="15">
                  <c:v>98870.597141589271</c:v>
                </c:pt>
                <c:pt idx="16">
                  <c:v>107889.22227475123</c:v>
                </c:pt>
                <c:pt idx="17">
                  <c:v>116977.52733197069</c:v>
                </c:pt>
                <c:pt idx="18">
                  <c:v>126137.60271096937</c:v>
                </c:pt>
                <c:pt idx="19">
                  <c:v>135371.60152140065</c:v>
                </c:pt>
                <c:pt idx="20">
                  <c:v>137985.78046829542</c:v>
                </c:pt>
                <c:pt idx="21">
                  <c:v>140678.38478359702</c:v>
                </c:pt>
                <c:pt idx="22">
                  <c:v>143451.7672283577</c:v>
                </c:pt>
                <c:pt idx="23">
                  <c:v>146308.35114646118</c:v>
                </c:pt>
                <c:pt idx="24">
                  <c:v>149250.63258210776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1FA-4769-B465-FA2225FF51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36301872"/>
        <c:axId val="736311232"/>
      </c:scatterChart>
      <c:valAx>
        <c:axId val="736301872"/>
        <c:scaling>
          <c:orientation val="minMax"/>
          <c:max val="2050"/>
          <c:min val="2025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36311232"/>
        <c:crosses val="autoZero"/>
        <c:crossBetween val="midCat"/>
        <c:majorUnit val="1"/>
      </c:valAx>
      <c:valAx>
        <c:axId val="7363112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36301872"/>
        <c:crosses val="autoZero"/>
        <c:crossBetween val="midCat"/>
        <c:majorUnit val="200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0000026918088795E-2"/>
          <c:y val="0.91979608456214601"/>
          <c:w val="0.80838153914401545"/>
          <c:h val="6.749838429663045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B565DC26-6BF7-4FA6-9967-88FC27CF55B2}">
  <sheetPr/>
  <sheetViews>
    <sheetView zoomScale="85" workbookViewId="0" zoomToFit="1"/>
  </sheetViews>
  <pageMargins left="0.7" right="0.7" top="0.78740157499999996" bottom="0.78740157499999996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78471" cy="5979459"/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2B02F25B-1D93-1C9F-34B4-7538F5449F14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B87248-FB6D-478D-AABB-C36AAAB38552}">
  <dimension ref="A1:N89"/>
  <sheetViews>
    <sheetView tabSelected="1" workbookViewId="0">
      <pane ySplit="8" topLeftCell="A9" activePane="bottomLeft" state="frozen"/>
      <selection pane="bottomLeft" activeCell="B43" sqref="B43"/>
    </sheetView>
  </sheetViews>
  <sheetFormatPr baseColWidth="10" defaultRowHeight="14.4" x14ac:dyDescent="0.3"/>
  <cols>
    <col min="1" max="1" width="26" bestFit="1" customWidth="1"/>
    <col min="2" max="2" width="13.109375" customWidth="1"/>
    <col min="3" max="3" width="7.5546875" customWidth="1"/>
    <col min="4" max="4" width="10.6640625" bestFit="1" customWidth="1"/>
    <col min="5" max="5" width="7.5546875" customWidth="1"/>
    <col min="7" max="7" width="3.21875" bestFit="1" customWidth="1"/>
    <col min="8" max="8" width="5.44140625" customWidth="1"/>
    <col min="9" max="9" width="26" bestFit="1" customWidth="1"/>
    <col min="10" max="10" width="8.109375" customWidth="1"/>
    <col min="11" max="14" width="8.33203125" customWidth="1"/>
  </cols>
  <sheetData>
    <row r="1" spans="1:14" ht="18" x14ac:dyDescent="0.35">
      <c r="A1" s="10" t="s">
        <v>0</v>
      </c>
      <c r="C1" s="1"/>
      <c r="I1" s="27" t="s">
        <v>100</v>
      </c>
      <c r="J1" s="28" t="s">
        <v>105</v>
      </c>
      <c r="K1" s="28"/>
      <c r="L1" s="28"/>
      <c r="M1" s="28"/>
      <c r="N1" s="29"/>
    </row>
    <row r="2" spans="1:14" x14ac:dyDescent="0.3">
      <c r="A2" t="s">
        <v>1</v>
      </c>
      <c r="B2" s="2"/>
      <c r="D2" s="19" t="s">
        <v>69</v>
      </c>
      <c r="E2" s="20"/>
      <c r="F2" s="20"/>
      <c r="G2" s="21" t="s">
        <v>68</v>
      </c>
      <c r="I2" s="32"/>
      <c r="J2" s="34" t="s">
        <v>109</v>
      </c>
      <c r="K2" s="34" t="s">
        <v>101</v>
      </c>
      <c r="L2" s="34" t="s">
        <v>102</v>
      </c>
      <c r="M2" s="34" t="s">
        <v>103</v>
      </c>
      <c r="N2" s="35" t="s">
        <v>104</v>
      </c>
    </row>
    <row r="3" spans="1:14" x14ac:dyDescent="0.3">
      <c r="A3" t="s">
        <v>50</v>
      </c>
      <c r="B3" s="2"/>
      <c r="I3" s="30" t="str">
        <f>Jahreskosten!C1</f>
        <v>Bestand</v>
      </c>
      <c r="J3" s="2">
        <f>Jahreskosten!$H7</f>
        <v>45000.557464462152</v>
      </c>
      <c r="K3" s="2">
        <f>Jahreskosten!$H12</f>
        <v>85575.796319060493</v>
      </c>
      <c r="L3" s="2">
        <f>Jahreskosten!$H17</f>
        <v>132613.61878172637</v>
      </c>
      <c r="M3" s="2">
        <f>Jahreskosten!$H22</f>
        <v>187143.34687422111</v>
      </c>
      <c r="N3" s="31">
        <f>Jahreskosten!$H27</f>
        <v>250358.24693047869</v>
      </c>
    </row>
    <row r="4" spans="1:14" x14ac:dyDescent="0.3">
      <c r="A4" s="5" t="s">
        <v>8</v>
      </c>
      <c r="B4" s="36">
        <v>130</v>
      </c>
      <c r="C4" t="s">
        <v>29</v>
      </c>
      <c r="D4" s="2" t="s">
        <v>76</v>
      </c>
      <c r="I4" s="30" t="str">
        <f>Jahreskosten!J1</f>
        <v>Kreditfinanzierung 10 Jahre</v>
      </c>
      <c r="J4" s="2">
        <f>Jahreskosten!$P7</f>
        <v>56246.537954966916</v>
      </c>
      <c r="K4" s="2">
        <f>Jahreskosten!$P12</f>
        <v>113717.01482462624</v>
      </c>
      <c r="L4" s="2">
        <f>Jahreskosten!$P17</f>
        <v>124044.31738156104</v>
      </c>
      <c r="M4" s="2">
        <f>Jahreskosten!$P22</f>
        <v>136016.49149326768</v>
      </c>
      <c r="N4" s="31">
        <f>Jahreskosten!$P27</f>
        <v>149895.52255397479</v>
      </c>
    </row>
    <row r="5" spans="1:14" x14ac:dyDescent="0.3">
      <c r="A5" t="s">
        <v>9</v>
      </c>
      <c r="B5" s="2">
        <f>B4/0.85</f>
        <v>152.94117647058823</v>
      </c>
      <c r="C5" t="s">
        <v>29</v>
      </c>
      <c r="D5" s="2" t="s">
        <v>70</v>
      </c>
      <c r="F5">
        <f>10*ROUND((4*SQRT(B5)*3.5)/10,0)</f>
        <v>170</v>
      </c>
      <c r="G5" t="s">
        <v>29</v>
      </c>
      <c r="I5" s="30" t="str">
        <f>Jahreskosten!R1</f>
        <v>Kreditfinanzierung 20 Jahre</v>
      </c>
      <c r="J5" s="2">
        <f>Jahreskosten!$X7</f>
        <v>30036.080494112535</v>
      </c>
      <c r="K5" s="2">
        <f>Jahreskosten!$X12</f>
        <v>61296.099902917493</v>
      </c>
      <c r="L5" s="2">
        <f>Jahreskosten!$X17</f>
        <v>112694.99996405224</v>
      </c>
      <c r="M5" s="2">
        <f>Jahreskosten!$X22</f>
        <v>165738.77157995882</v>
      </c>
      <c r="N5" s="31">
        <f>Jahreskosten!$X27</f>
        <v>179617.80264066593</v>
      </c>
    </row>
    <row r="6" spans="1:14" x14ac:dyDescent="0.3">
      <c r="B6" s="2"/>
      <c r="D6" s="2" t="s">
        <v>71</v>
      </c>
      <c r="F6" s="2">
        <f>10*ROUND(B5/10,0)</f>
        <v>150</v>
      </c>
      <c r="G6" t="s">
        <v>29</v>
      </c>
      <c r="I6" s="30" t="str">
        <f>Jahreskosten!Z1</f>
        <v>Direktzuschuss, Kredit 10 Jahre</v>
      </c>
      <c r="J6" s="2">
        <f>Jahreskosten!$AF7</f>
        <v>43809.928904125059</v>
      </c>
      <c r="K6" s="2">
        <f>Jahreskosten!$AF12</f>
        <v>88843.796722942556</v>
      </c>
      <c r="L6" s="2">
        <f>Jahreskosten!$AF17</f>
        <v>99171.099279877351</v>
      </c>
      <c r="M6" s="2">
        <f>Jahreskosten!$AF22</f>
        <v>111143.27339158396</v>
      </c>
      <c r="N6" s="31">
        <f>Jahreskosten!$AF27</f>
        <v>125022.30445229106</v>
      </c>
    </row>
    <row r="7" spans="1:14" x14ac:dyDescent="0.3">
      <c r="B7" s="2"/>
      <c r="D7" s="2" t="s">
        <v>99</v>
      </c>
      <c r="E7" s="2"/>
      <c r="F7">
        <f>B4*0.12</f>
        <v>15.6</v>
      </c>
      <c r="G7" t="s">
        <v>29</v>
      </c>
      <c r="I7" s="32" t="str">
        <f>Jahreskosten!AH1</f>
        <v>Direktzuschuss, Kredit 20 Jahre</v>
      </c>
      <c r="J7" s="9">
        <f>Jahreskosten!$AN7</f>
        <v>22444.287979472989</v>
      </c>
      <c r="K7" s="9">
        <f>Jahreskosten!$AN12</f>
        <v>46112.5148736384</v>
      </c>
      <c r="L7" s="9">
        <f>Jahreskosten!$AN17</f>
        <v>89919.622420133615</v>
      </c>
      <c r="M7" s="9">
        <f>Jahreskosten!$AN22</f>
        <v>135371.60152140065</v>
      </c>
      <c r="N7" s="33">
        <f>Jahreskosten!$AN27</f>
        <v>149250.63258210776</v>
      </c>
    </row>
    <row r="8" spans="1:14" x14ac:dyDescent="0.3">
      <c r="A8" t="s">
        <v>97</v>
      </c>
      <c r="B8" s="23">
        <v>0.03</v>
      </c>
      <c r="C8" s="2" t="s">
        <v>98</v>
      </c>
      <c r="D8" s="2"/>
      <c r="E8" s="2"/>
    </row>
    <row r="9" spans="1:14" x14ac:dyDescent="0.3">
      <c r="B9" s="2"/>
      <c r="D9" s="2"/>
    </row>
    <row r="10" spans="1:14" x14ac:dyDescent="0.3">
      <c r="A10" s="11" t="s">
        <v>46</v>
      </c>
      <c r="B10" s="12"/>
      <c r="C10" s="11"/>
      <c r="D10" s="12"/>
      <c r="E10" s="11"/>
      <c r="F10" s="11"/>
    </row>
    <row r="11" spans="1:14" x14ac:dyDescent="0.3">
      <c r="A11" t="s">
        <v>10</v>
      </c>
      <c r="B11" s="13">
        <f>B19/B5</f>
        <v>130.76923076923077</v>
      </c>
      <c r="C11" t="s">
        <v>57</v>
      </c>
      <c r="D11" s="2"/>
    </row>
    <row r="12" spans="1:14" x14ac:dyDescent="0.3">
      <c r="A12" t="s">
        <v>20</v>
      </c>
      <c r="B12" s="6">
        <v>20000</v>
      </c>
      <c r="C12" t="s">
        <v>16</v>
      </c>
      <c r="D12" s="2"/>
    </row>
    <row r="13" spans="1:14" x14ac:dyDescent="0.3">
      <c r="A13" t="s">
        <v>17</v>
      </c>
      <c r="B13" s="6">
        <v>6</v>
      </c>
      <c r="C13" t="s">
        <v>18</v>
      </c>
      <c r="D13" s="2"/>
    </row>
    <row r="14" spans="1:14" x14ac:dyDescent="0.3">
      <c r="A14" t="s">
        <v>72</v>
      </c>
      <c r="B14" s="2">
        <v>9</v>
      </c>
      <c r="C14" t="s">
        <v>67</v>
      </c>
      <c r="D14" s="2"/>
    </row>
    <row r="15" spans="1:14" x14ac:dyDescent="0.3">
      <c r="B15" s="2"/>
      <c r="D15" s="2"/>
    </row>
    <row r="16" spans="1:14" x14ac:dyDescent="0.3">
      <c r="B16" s="2" t="s">
        <v>6</v>
      </c>
      <c r="C16" s="1" t="s">
        <v>7</v>
      </c>
      <c r="D16" t="s">
        <v>5</v>
      </c>
      <c r="E16" t="s">
        <v>14</v>
      </c>
      <c r="F16" t="s">
        <v>15</v>
      </c>
    </row>
    <row r="17" spans="1:6" x14ac:dyDescent="0.3">
      <c r="B17" s="2" t="s">
        <v>13</v>
      </c>
      <c r="C17" t="s">
        <v>11</v>
      </c>
      <c r="D17" s="2" t="s">
        <v>13</v>
      </c>
      <c r="E17" t="s">
        <v>12</v>
      </c>
      <c r="F17" s="25" t="s">
        <v>95</v>
      </c>
    </row>
    <row r="18" spans="1:6" x14ac:dyDescent="0.3">
      <c r="A18" t="s">
        <v>2</v>
      </c>
      <c r="B18" s="2">
        <v>4000</v>
      </c>
      <c r="C18">
        <v>1</v>
      </c>
      <c r="D18" s="2">
        <f>B18*C18</f>
        <v>4000</v>
      </c>
      <c r="E18" s="7">
        <v>0.35</v>
      </c>
      <c r="F18" s="2">
        <f>D18*E18</f>
        <v>1400</v>
      </c>
    </row>
    <row r="19" spans="1:6" x14ac:dyDescent="0.3">
      <c r="A19" s="5" t="s">
        <v>3</v>
      </c>
      <c r="B19" s="36">
        <v>20000</v>
      </c>
      <c r="C19">
        <v>0.95</v>
      </c>
      <c r="D19" s="2">
        <f>B19*C19</f>
        <v>19000</v>
      </c>
      <c r="E19" s="7">
        <v>0.13</v>
      </c>
      <c r="F19" s="2">
        <f t="shared" ref="F19:F21" si="0">D19*E19</f>
        <v>2470</v>
      </c>
    </row>
    <row r="20" spans="1:6" x14ac:dyDescent="0.3">
      <c r="A20" t="s">
        <v>4</v>
      </c>
      <c r="B20" s="2">
        <v>3000</v>
      </c>
      <c r="C20">
        <v>0.95</v>
      </c>
      <c r="D20" s="2">
        <f>B20*C20</f>
        <v>2850</v>
      </c>
      <c r="E20" s="7">
        <v>0.13</v>
      </c>
      <c r="F20" s="2">
        <f t="shared" si="0"/>
        <v>370.5</v>
      </c>
    </row>
    <row r="21" spans="1:6" x14ac:dyDescent="0.3">
      <c r="A21" t="s">
        <v>19</v>
      </c>
      <c r="B21" s="2">
        <f>B12*B13*B14/100</f>
        <v>10800</v>
      </c>
      <c r="D21" s="2">
        <f>10*B12*B13/100</f>
        <v>12000</v>
      </c>
      <c r="E21" s="7">
        <v>0.18</v>
      </c>
      <c r="F21" s="9">
        <f t="shared" si="0"/>
        <v>2160</v>
      </c>
    </row>
    <row r="22" spans="1:6" x14ac:dyDescent="0.3">
      <c r="B22" s="2"/>
      <c r="F22" s="8">
        <f>SUM(F18:F21)</f>
        <v>6400.5</v>
      </c>
    </row>
    <row r="23" spans="1:6" x14ac:dyDescent="0.3">
      <c r="B23" s="2"/>
    </row>
    <row r="24" spans="1:6" x14ac:dyDescent="0.3">
      <c r="A24" s="11" t="s">
        <v>54</v>
      </c>
      <c r="B24" s="12"/>
      <c r="C24" s="11"/>
      <c r="D24" s="12"/>
      <c r="E24" s="11"/>
      <c r="F24" s="11"/>
    </row>
    <row r="25" spans="1:6" x14ac:dyDescent="0.3">
      <c r="A25" t="s">
        <v>55</v>
      </c>
    </row>
    <row r="27" spans="1:6" x14ac:dyDescent="0.3">
      <c r="A27" t="s">
        <v>56</v>
      </c>
      <c r="B27" s="13">
        <f>B42/B5</f>
        <v>45.769230769230774</v>
      </c>
      <c r="C27" t="s">
        <v>57</v>
      </c>
    </row>
    <row r="29" spans="1:6" x14ac:dyDescent="0.3">
      <c r="A29" t="s">
        <v>58</v>
      </c>
      <c r="B29" s="2">
        <f>B12</f>
        <v>20000</v>
      </c>
      <c r="C29" t="s">
        <v>16</v>
      </c>
    </row>
    <row r="30" spans="1:6" x14ac:dyDescent="0.3">
      <c r="A30" t="s">
        <v>17</v>
      </c>
      <c r="B30" s="18">
        <v>0.15</v>
      </c>
      <c r="C30" t="s">
        <v>22</v>
      </c>
    </row>
    <row r="31" spans="1:6" x14ac:dyDescent="0.3">
      <c r="A31" t="s">
        <v>107</v>
      </c>
      <c r="B31" s="6">
        <v>8000</v>
      </c>
      <c r="C31" t="s">
        <v>108</v>
      </c>
    </row>
    <row r="32" spans="1:6" x14ac:dyDescent="0.3">
      <c r="B32" s="2"/>
    </row>
    <row r="33" spans="1:6" x14ac:dyDescent="0.3">
      <c r="B33" s="2" t="s">
        <v>6</v>
      </c>
      <c r="C33" s="1" t="s">
        <v>7</v>
      </c>
      <c r="D33" t="s">
        <v>5</v>
      </c>
      <c r="E33" t="s">
        <v>14</v>
      </c>
      <c r="F33" t="s">
        <v>15</v>
      </c>
    </row>
    <row r="34" spans="1:6" x14ac:dyDescent="0.3">
      <c r="B34" s="2" t="s">
        <v>13</v>
      </c>
      <c r="C34" t="s">
        <v>11</v>
      </c>
      <c r="D34" s="2" t="s">
        <v>13</v>
      </c>
      <c r="E34" t="s">
        <v>12</v>
      </c>
      <c r="F34" s="25" t="s">
        <v>95</v>
      </c>
    </row>
    <row r="35" spans="1:6" x14ac:dyDescent="0.3">
      <c r="A35" t="s">
        <v>2</v>
      </c>
      <c r="B35" s="2">
        <v>4000</v>
      </c>
      <c r="D35" s="2"/>
    </row>
    <row r="36" spans="1:6" x14ac:dyDescent="0.3">
      <c r="A36" t="s">
        <v>65</v>
      </c>
      <c r="B36" s="2">
        <v>500</v>
      </c>
      <c r="D36" s="2"/>
    </row>
    <row r="37" spans="1:6" x14ac:dyDescent="0.3">
      <c r="A37" t="s">
        <v>21</v>
      </c>
      <c r="B37" s="9">
        <f>B29*B30</f>
        <v>3000</v>
      </c>
      <c r="D37" s="2"/>
    </row>
    <row r="38" spans="1:6" x14ac:dyDescent="0.3">
      <c r="A38" t="s">
        <v>51</v>
      </c>
      <c r="B38" s="2">
        <f>SUM(B35:B37)</f>
        <v>7500</v>
      </c>
      <c r="D38" s="2"/>
    </row>
    <row r="39" spans="1:6" x14ac:dyDescent="0.3">
      <c r="A39" t="s">
        <v>23</v>
      </c>
      <c r="B39" s="14">
        <v>-4500</v>
      </c>
      <c r="D39" s="2"/>
    </row>
    <row r="40" spans="1:6" x14ac:dyDescent="0.3">
      <c r="A40" t="s">
        <v>24</v>
      </c>
      <c r="B40" s="2">
        <f>SUM(B38:B39)</f>
        <v>3000</v>
      </c>
      <c r="C40">
        <v>1</v>
      </c>
      <c r="D40" s="2">
        <f>B40*C40</f>
        <v>3000</v>
      </c>
      <c r="E40" s="7">
        <v>0.35</v>
      </c>
      <c r="F40" s="2">
        <f>D40*E40</f>
        <v>1050</v>
      </c>
    </row>
    <row r="41" spans="1:6" x14ac:dyDescent="0.3">
      <c r="A41" t="s">
        <v>106</v>
      </c>
      <c r="B41" s="2">
        <f>B31+B39</f>
        <v>3500</v>
      </c>
      <c r="C41">
        <v>1</v>
      </c>
      <c r="D41" s="2">
        <f>B41*C41</f>
        <v>3500</v>
      </c>
      <c r="E41" s="7">
        <v>-0.06</v>
      </c>
      <c r="F41" s="2">
        <f>D41*E41</f>
        <v>-210</v>
      </c>
    </row>
    <row r="42" spans="1:6" x14ac:dyDescent="0.3">
      <c r="A42" s="5" t="s">
        <v>25</v>
      </c>
      <c r="B42" s="36">
        <v>7000</v>
      </c>
      <c r="C42">
        <v>0.95</v>
      </c>
      <c r="D42" s="2">
        <f>B42*C42</f>
        <v>6650</v>
      </c>
      <c r="E42" s="7">
        <v>7.0000000000000007E-2</v>
      </c>
      <c r="F42" s="2">
        <f t="shared" ref="F42:F43" si="1">D42*E42</f>
        <v>465.50000000000006</v>
      </c>
    </row>
    <row r="43" spans="1:6" x14ac:dyDescent="0.3">
      <c r="A43" t="s">
        <v>26</v>
      </c>
      <c r="B43" s="6">
        <v>1500</v>
      </c>
      <c r="C43">
        <v>0.95</v>
      </c>
      <c r="D43" s="2">
        <f>B43*C43</f>
        <v>1425</v>
      </c>
      <c r="E43" s="7">
        <v>7.0000000000000007E-2</v>
      </c>
      <c r="F43" s="9">
        <f t="shared" si="1"/>
        <v>99.750000000000014</v>
      </c>
    </row>
    <row r="44" spans="1:6" x14ac:dyDescent="0.3">
      <c r="A44" t="s">
        <v>66</v>
      </c>
      <c r="B44" s="2"/>
      <c r="D44" s="2"/>
      <c r="F44" s="8">
        <f>SUM(F40:F43)</f>
        <v>1405.25</v>
      </c>
    </row>
    <row r="45" spans="1:6" x14ac:dyDescent="0.3">
      <c r="B45" s="6">
        <v>10000</v>
      </c>
      <c r="C45" t="s">
        <v>62</v>
      </c>
      <c r="D45" s="2" t="s">
        <v>96</v>
      </c>
      <c r="E45">
        <v>2030</v>
      </c>
    </row>
    <row r="46" spans="1:6" x14ac:dyDescent="0.3">
      <c r="B46" s="2"/>
      <c r="D46" s="2"/>
      <c r="F46" s="2"/>
    </row>
    <row r="47" spans="1:6" x14ac:dyDescent="0.3">
      <c r="B47" s="2"/>
      <c r="D47" s="2"/>
    </row>
    <row r="48" spans="1:6" x14ac:dyDescent="0.3">
      <c r="A48" s="5" t="s">
        <v>27</v>
      </c>
    </row>
    <row r="49" spans="1:6" x14ac:dyDescent="0.3">
      <c r="A49" t="s">
        <v>28</v>
      </c>
      <c r="B49">
        <f>F5</f>
        <v>170</v>
      </c>
      <c r="C49" t="s">
        <v>29</v>
      </c>
      <c r="D49" s="6">
        <v>180</v>
      </c>
      <c r="F49" s="2">
        <f>B49*D49</f>
        <v>30600</v>
      </c>
    </row>
    <row r="50" spans="1:6" x14ac:dyDescent="0.3">
      <c r="A50" t="s">
        <v>73</v>
      </c>
      <c r="B50" s="2">
        <f>F6</f>
        <v>150</v>
      </c>
      <c r="C50" t="s">
        <v>29</v>
      </c>
      <c r="D50" s="6">
        <v>30</v>
      </c>
      <c r="F50" s="2">
        <f>B50*D50</f>
        <v>4500</v>
      </c>
    </row>
    <row r="51" spans="1:6" x14ac:dyDescent="0.3">
      <c r="A51" t="s">
        <v>30</v>
      </c>
      <c r="B51">
        <f>F7</f>
        <v>15.6</v>
      </c>
      <c r="C51" t="s">
        <v>29</v>
      </c>
      <c r="D51" s="6">
        <v>1000</v>
      </c>
      <c r="F51" s="2">
        <f>B51*D51</f>
        <v>15600</v>
      </c>
    </row>
    <row r="52" spans="1:6" x14ac:dyDescent="0.3">
      <c r="A52" t="s">
        <v>74</v>
      </c>
      <c r="B52">
        <v>1</v>
      </c>
      <c r="C52" t="s">
        <v>75</v>
      </c>
      <c r="D52" s="6">
        <v>5000</v>
      </c>
      <c r="F52" s="2">
        <f>B52*D52</f>
        <v>5000</v>
      </c>
    </row>
    <row r="53" spans="1:6" x14ac:dyDescent="0.3">
      <c r="A53" t="s">
        <v>31</v>
      </c>
      <c r="B53">
        <v>1</v>
      </c>
      <c r="C53" t="s">
        <v>32</v>
      </c>
      <c r="D53" s="6">
        <v>36000</v>
      </c>
      <c r="F53" s="2">
        <f>B53*D53</f>
        <v>36000</v>
      </c>
    </row>
    <row r="54" spans="1:6" x14ac:dyDescent="0.3">
      <c r="A54" t="s">
        <v>33</v>
      </c>
      <c r="B54">
        <v>1</v>
      </c>
      <c r="C54" t="s">
        <v>32</v>
      </c>
      <c r="D54" s="6">
        <v>8000</v>
      </c>
      <c r="F54" s="2">
        <f t="shared" ref="F54:F56" si="2">B54*D54</f>
        <v>8000</v>
      </c>
    </row>
    <row r="55" spans="1:6" x14ac:dyDescent="0.3">
      <c r="A55" t="s">
        <v>34</v>
      </c>
      <c r="B55">
        <v>1</v>
      </c>
      <c r="C55" t="s">
        <v>32</v>
      </c>
      <c r="D55" s="6">
        <v>5000</v>
      </c>
      <c r="F55" s="2">
        <f t="shared" si="2"/>
        <v>5000</v>
      </c>
    </row>
    <row r="56" spans="1:6" x14ac:dyDescent="0.3">
      <c r="A56" t="s">
        <v>64</v>
      </c>
      <c r="B56">
        <v>1</v>
      </c>
      <c r="C56" t="s">
        <v>32</v>
      </c>
      <c r="D56" s="6">
        <v>3500</v>
      </c>
      <c r="F56" s="9">
        <f t="shared" si="2"/>
        <v>3500</v>
      </c>
    </row>
    <row r="57" spans="1:6" x14ac:dyDescent="0.3">
      <c r="A57" s="5" t="s">
        <v>52</v>
      </c>
      <c r="F57" s="8">
        <f>SUM(F49:F56)</f>
        <v>108200</v>
      </c>
    </row>
    <row r="58" spans="1:6" x14ac:dyDescent="0.3">
      <c r="F58" s="2"/>
    </row>
    <row r="59" spans="1:6" x14ac:dyDescent="0.3">
      <c r="A59" s="5" t="s">
        <v>53</v>
      </c>
      <c r="F59" s="2"/>
    </row>
    <row r="60" spans="1:6" x14ac:dyDescent="0.3">
      <c r="A60" t="s">
        <v>35</v>
      </c>
      <c r="F60" s="2">
        <v>78000</v>
      </c>
    </row>
    <row r="61" spans="1:6" x14ac:dyDescent="0.3">
      <c r="A61" t="s">
        <v>49</v>
      </c>
      <c r="F61" s="2"/>
    </row>
    <row r="62" spans="1:6" x14ac:dyDescent="0.3">
      <c r="A62" t="s">
        <v>36</v>
      </c>
      <c r="B62" s="2">
        <f>F60</f>
        <v>78000</v>
      </c>
      <c r="D62">
        <v>120</v>
      </c>
      <c r="E62" s="3">
        <v>0.04</v>
      </c>
      <c r="F62" s="2">
        <f>B62*D62/100*E62</f>
        <v>3744</v>
      </c>
    </row>
    <row r="65" spans="1:6" x14ac:dyDescent="0.3">
      <c r="A65" s="5" t="s">
        <v>77</v>
      </c>
    </row>
    <row r="66" spans="1:6" x14ac:dyDescent="0.3">
      <c r="A66" t="s">
        <v>78</v>
      </c>
    </row>
    <row r="67" spans="1:6" x14ac:dyDescent="0.3">
      <c r="A67" t="s">
        <v>92</v>
      </c>
      <c r="E67" t="s">
        <v>80</v>
      </c>
      <c r="F67" s="2">
        <v>9500</v>
      </c>
    </row>
    <row r="68" spans="1:6" x14ac:dyDescent="0.3">
      <c r="A68" t="s">
        <v>79</v>
      </c>
      <c r="E68" t="s">
        <v>80</v>
      </c>
      <c r="F68" s="9">
        <v>7500</v>
      </c>
    </row>
    <row r="69" spans="1:6" x14ac:dyDescent="0.3">
      <c r="F69" s="2">
        <f>SUM(F67:F68)</f>
        <v>17000</v>
      </c>
    </row>
    <row r="70" spans="1:6" x14ac:dyDescent="0.3">
      <c r="B70" t="s">
        <v>93</v>
      </c>
      <c r="E70" s="4">
        <v>0.158</v>
      </c>
      <c r="F70" s="9">
        <f>F69*E70</f>
        <v>2686</v>
      </c>
    </row>
    <row r="71" spans="1:6" x14ac:dyDescent="0.3">
      <c r="F71" s="2">
        <f>SUM(F69:F70)</f>
        <v>19686</v>
      </c>
    </row>
    <row r="72" spans="1:6" x14ac:dyDescent="0.3">
      <c r="E72" t="s">
        <v>81</v>
      </c>
      <c r="F72" s="6">
        <v>20000</v>
      </c>
    </row>
    <row r="73" spans="1:6" x14ac:dyDescent="0.3">
      <c r="E73" s="22" t="s">
        <v>94</v>
      </c>
      <c r="F73" s="24">
        <f>F72/F57</f>
        <v>0.18484288354898337</v>
      </c>
    </row>
    <row r="75" spans="1:6" x14ac:dyDescent="0.3">
      <c r="A75" s="5" t="s">
        <v>82</v>
      </c>
      <c r="B75" t="s">
        <v>42</v>
      </c>
      <c r="C75" t="s">
        <v>43</v>
      </c>
      <c r="D75" t="s">
        <v>44</v>
      </c>
      <c r="E75" t="s">
        <v>40</v>
      </c>
      <c r="F75" t="s">
        <v>48</v>
      </c>
    </row>
    <row r="76" spans="1:6" x14ac:dyDescent="0.3">
      <c r="A76" t="s">
        <v>83</v>
      </c>
      <c r="B76" s="2">
        <f>F57</f>
        <v>108200</v>
      </c>
      <c r="C76" s="17">
        <v>4.4999999999999998E-2</v>
      </c>
      <c r="D76">
        <v>10</v>
      </c>
      <c r="E76" s="2">
        <f>PMT(C76/12,D76*12,B76)*12</f>
        <v>-13456.410993010866</v>
      </c>
      <c r="F76" s="2">
        <f>E76*D76</f>
        <v>-134564.10993010865</v>
      </c>
    </row>
    <row r="77" spans="1:6" x14ac:dyDescent="0.3">
      <c r="A77" t="s">
        <v>84</v>
      </c>
      <c r="B77" s="9">
        <f>-F72</f>
        <v>-20000</v>
      </c>
      <c r="C77" s="4"/>
      <c r="E77" s="2"/>
      <c r="F77" s="2"/>
    </row>
    <row r="78" spans="1:6" x14ac:dyDescent="0.3">
      <c r="A78" t="s">
        <v>85</v>
      </c>
      <c r="B78" s="2">
        <f>B76-F72</f>
        <v>88200</v>
      </c>
      <c r="C78" s="4">
        <f>C76</f>
        <v>4.4999999999999998E-2</v>
      </c>
      <c r="D78">
        <v>10</v>
      </c>
      <c r="E78" s="2">
        <f>PMT(C78/12,D78*12,B78)*12</f>
        <v>-10969.089182842497</v>
      </c>
      <c r="F78" s="2">
        <f>E78*D78</f>
        <v>-109690.89182842497</v>
      </c>
    </row>
    <row r="79" spans="1:6" x14ac:dyDescent="0.3">
      <c r="B79" s="2"/>
      <c r="C79" s="4"/>
      <c r="E79" s="2"/>
      <c r="F79" s="2"/>
    </row>
    <row r="80" spans="1:6" x14ac:dyDescent="0.3">
      <c r="A80" t="s">
        <v>83</v>
      </c>
      <c r="B80" s="2">
        <f>B76</f>
        <v>108200</v>
      </c>
      <c r="C80" s="4">
        <f>C78</f>
        <v>4.4999999999999998E-2</v>
      </c>
      <c r="D80">
        <v>20</v>
      </c>
      <c r="E80" s="2">
        <f>PMT(C80/12,D80*12,B80)*12</f>
        <v>-8214.3195008399925</v>
      </c>
      <c r="F80" s="2">
        <f>E80*D80</f>
        <v>-164286.39001679985</v>
      </c>
    </row>
    <row r="81" spans="1:6" x14ac:dyDescent="0.3">
      <c r="A81" t="s">
        <v>84</v>
      </c>
      <c r="B81" s="9">
        <f>-F72</f>
        <v>-20000</v>
      </c>
      <c r="C81" s="4"/>
      <c r="E81" s="2"/>
      <c r="F81" s="2"/>
    </row>
    <row r="82" spans="1:6" x14ac:dyDescent="0.3">
      <c r="A82" t="s">
        <v>85</v>
      </c>
      <c r="B82" s="2">
        <f>SUM(B80:B81)</f>
        <v>88200</v>
      </c>
      <c r="C82" s="4">
        <f>C80</f>
        <v>4.4999999999999998E-2</v>
      </c>
      <c r="D82">
        <v>20</v>
      </c>
      <c r="E82" s="2">
        <f>PMT(C82/12,D82*12,B82)*12</f>
        <v>-6695.9609979120823</v>
      </c>
      <c r="F82" s="2">
        <f>E82*D82</f>
        <v>-133919.21995824165</v>
      </c>
    </row>
    <row r="85" spans="1:6" x14ac:dyDescent="0.3">
      <c r="A85" s="5" t="s">
        <v>59</v>
      </c>
    </row>
    <row r="86" spans="1:6" x14ac:dyDescent="0.3">
      <c r="A86" t="s">
        <v>88</v>
      </c>
    </row>
    <row r="87" spans="1:6" x14ac:dyDescent="0.3">
      <c r="A87" t="s">
        <v>89</v>
      </c>
    </row>
    <row r="88" spans="1:6" x14ac:dyDescent="0.3">
      <c r="A88" t="s">
        <v>90</v>
      </c>
    </row>
    <row r="89" spans="1:6" x14ac:dyDescent="0.3">
      <c r="A89" t="s">
        <v>91</v>
      </c>
    </row>
  </sheetData>
  <conditionalFormatting sqref="K3:K7">
    <cfRule type="colorScale" priority="10">
      <colorScale>
        <cfvo type="min"/>
        <cfvo type="max"/>
        <color theme="9" tint="0.39997558519241921"/>
        <color rgb="FFFFDB69"/>
      </colorScale>
    </cfRule>
  </conditionalFormatting>
  <conditionalFormatting sqref="L3:L7">
    <cfRule type="colorScale" priority="5">
      <colorScale>
        <cfvo type="min"/>
        <cfvo type="max"/>
        <color theme="9" tint="0.39997558519241921"/>
        <color rgb="FFFFDB69"/>
      </colorScale>
    </cfRule>
  </conditionalFormatting>
  <conditionalFormatting sqref="M3:M7">
    <cfRule type="colorScale" priority="4">
      <colorScale>
        <cfvo type="min"/>
        <cfvo type="max"/>
        <color theme="9" tint="0.39997558519241921"/>
        <color rgb="FFFFDB69"/>
      </colorScale>
    </cfRule>
  </conditionalFormatting>
  <conditionalFormatting sqref="N3:N7">
    <cfRule type="colorScale" priority="3">
      <colorScale>
        <cfvo type="min"/>
        <cfvo type="max"/>
        <color theme="9" tint="0.39997558519241921"/>
        <color rgb="FFFFDB69"/>
      </colorScale>
    </cfRule>
  </conditionalFormatting>
  <conditionalFormatting sqref="J3:J7">
    <cfRule type="colorScale" priority="1">
      <colorScale>
        <cfvo type="min"/>
        <cfvo type="max"/>
        <color theme="9" tint="0.39997558519241921"/>
        <color rgb="FFFFDB69"/>
      </colorScale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0E5646-8930-4D93-97F4-E976CB3A17EA}">
  <dimension ref="A1:AN27"/>
  <sheetViews>
    <sheetView workbookViewId="0">
      <selection activeCell="AN7" sqref="AN7"/>
    </sheetView>
  </sheetViews>
  <sheetFormatPr baseColWidth="10" defaultRowHeight="14.4" x14ac:dyDescent="0.3"/>
  <cols>
    <col min="2" max="2" width="6.109375" customWidth="1"/>
    <col min="3" max="3" width="7" bestFit="1" customWidth="1"/>
    <col min="4" max="4" width="5.44140625" customWidth="1"/>
    <col min="5" max="7" width="8.44140625" customWidth="1"/>
    <col min="8" max="8" width="8.77734375" bestFit="1" customWidth="1"/>
    <col min="9" max="9" width="7.21875" customWidth="1"/>
    <col min="10" max="10" width="7" bestFit="1" customWidth="1"/>
    <col min="11" max="11" width="3.5546875" bestFit="1" customWidth="1"/>
    <col min="12" max="12" width="7.33203125" bestFit="1" customWidth="1"/>
    <col min="13" max="13" width="7.6640625" bestFit="1" customWidth="1"/>
    <col min="14" max="14" width="8.5546875" bestFit="1" customWidth="1"/>
    <col min="15" max="15" width="7.33203125" bestFit="1" customWidth="1"/>
    <col min="16" max="16" width="8.77734375" bestFit="1" customWidth="1"/>
    <col min="18" max="18" width="6.44140625" customWidth="1"/>
    <col min="19" max="19" width="3.5546875" bestFit="1" customWidth="1"/>
    <col min="20" max="20" width="5.33203125" bestFit="1" customWidth="1"/>
    <col min="21" max="21" width="6.33203125" bestFit="1" customWidth="1"/>
    <col min="22" max="22" width="6" bestFit="1" customWidth="1"/>
    <col min="23" max="23" width="6.33203125" bestFit="1" customWidth="1"/>
    <col min="24" max="24" width="7.33203125" bestFit="1" customWidth="1"/>
    <col min="26" max="26" width="5.6640625" customWidth="1"/>
    <col min="27" max="27" width="5.33203125" customWidth="1"/>
    <col min="28" max="28" width="7.33203125" customWidth="1"/>
    <col min="29" max="32" width="7.6640625" customWidth="1"/>
    <col min="34" max="34" width="5.6640625" customWidth="1"/>
    <col min="35" max="35" width="5.33203125" customWidth="1"/>
    <col min="36" max="36" width="7.33203125" customWidth="1"/>
    <col min="37" max="40" width="7.6640625" customWidth="1"/>
  </cols>
  <sheetData>
    <row r="1" spans="1:40" ht="15.6" x14ac:dyDescent="0.3">
      <c r="A1" s="15" t="s">
        <v>15</v>
      </c>
      <c r="C1" s="16" t="s">
        <v>46</v>
      </c>
      <c r="D1" s="16"/>
      <c r="E1" s="16"/>
      <c r="F1" s="16"/>
      <c r="G1" s="16"/>
      <c r="H1" s="16"/>
      <c r="J1" s="16" t="s">
        <v>45</v>
      </c>
      <c r="K1" s="16"/>
      <c r="L1" s="16"/>
      <c r="M1" s="16"/>
      <c r="N1" s="16"/>
      <c r="O1" s="16"/>
      <c r="P1" s="16"/>
      <c r="R1" s="16" t="s">
        <v>47</v>
      </c>
      <c r="S1" s="16"/>
      <c r="T1" s="16"/>
      <c r="U1" s="16"/>
      <c r="V1" s="16"/>
      <c r="W1" s="16"/>
      <c r="X1" s="16"/>
      <c r="Z1" s="16" t="s">
        <v>87</v>
      </c>
      <c r="AA1" s="16"/>
      <c r="AB1" s="16"/>
      <c r="AC1" s="16"/>
      <c r="AD1" s="16"/>
      <c r="AE1" s="16"/>
      <c r="AF1" s="16"/>
      <c r="AH1" s="16" t="s">
        <v>86</v>
      </c>
      <c r="AI1" s="16"/>
      <c r="AJ1" s="16"/>
      <c r="AK1" s="16"/>
      <c r="AL1" s="16"/>
      <c r="AM1" s="16"/>
      <c r="AN1" s="16"/>
    </row>
    <row r="2" spans="1:40" x14ac:dyDescent="0.3">
      <c r="C2" t="s">
        <v>60</v>
      </c>
      <c r="D2" t="s">
        <v>61</v>
      </c>
      <c r="E2" t="s">
        <v>37</v>
      </c>
      <c r="F2" t="s">
        <v>63</v>
      </c>
      <c r="G2" t="s">
        <v>38</v>
      </c>
      <c r="H2" t="s">
        <v>39</v>
      </c>
      <c r="J2" t="s">
        <v>60</v>
      </c>
      <c r="K2" t="s">
        <v>61</v>
      </c>
      <c r="L2" t="s">
        <v>37</v>
      </c>
      <c r="M2" t="s">
        <v>40</v>
      </c>
      <c r="N2" t="s">
        <v>41</v>
      </c>
      <c r="O2" t="s">
        <v>38</v>
      </c>
      <c r="P2" t="s">
        <v>39</v>
      </c>
      <c r="R2" t="s">
        <v>60</v>
      </c>
      <c r="S2" t="s">
        <v>61</v>
      </c>
      <c r="T2" t="s">
        <v>37</v>
      </c>
      <c r="U2" t="s">
        <v>40</v>
      </c>
      <c r="V2" t="s">
        <v>41</v>
      </c>
      <c r="W2" t="s">
        <v>38</v>
      </c>
      <c r="X2" t="s">
        <v>39</v>
      </c>
      <c r="Z2" t="s">
        <v>60</v>
      </c>
      <c r="AA2" t="s">
        <v>61</v>
      </c>
      <c r="AB2" t="s">
        <v>37</v>
      </c>
      <c r="AC2" t="s">
        <v>40</v>
      </c>
      <c r="AD2" t="s">
        <v>41</v>
      </c>
      <c r="AE2" t="s">
        <v>38</v>
      </c>
      <c r="AF2" t="s">
        <v>39</v>
      </c>
      <c r="AH2" t="s">
        <v>60</v>
      </c>
      <c r="AI2" t="s">
        <v>61</v>
      </c>
      <c r="AJ2" t="s">
        <v>37</v>
      </c>
      <c r="AK2" t="s">
        <v>40</v>
      </c>
      <c r="AL2" t="s">
        <v>41</v>
      </c>
      <c r="AM2" t="s">
        <v>38</v>
      </c>
      <c r="AN2" t="s">
        <v>39</v>
      </c>
    </row>
    <row r="3" spans="1:40" x14ac:dyDescent="0.3">
      <c r="A3">
        <v>2026</v>
      </c>
      <c r="C3" s="2">
        <f>Grunddaten!F22</f>
        <v>6400.5</v>
      </c>
      <c r="D3" s="3">
        <f>Grunddaten!$B$8</f>
        <v>0.03</v>
      </c>
      <c r="E3" s="2">
        <f t="shared" ref="E3:E24" si="0">C3*(1+D3)</f>
        <v>6592.5150000000003</v>
      </c>
      <c r="F3" s="2"/>
      <c r="G3" s="2">
        <f>SUM(E3:F3)</f>
        <v>6592.5150000000003</v>
      </c>
      <c r="H3" s="2">
        <f>G3</f>
        <v>6592.5150000000003</v>
      </c>
      <c r="J3" s="2">
        <f>Grunddaten!F44</f>
        <v>1405.25</v>
      </c>
      <c r="K3" s="3">
        <f>Grunddaten!$B$8</f>
        <v>0.03</v>
      </c>
      <c r="L3" s="2">
        <f t="shared" ref="L3:L4" si="1">J3*(1+K3)</f>
        <v>1447.4075</v>
      </c>
      <c r="M3" s="2">
        <f>-Grunddaten!$E$76</f>
        <v>13456.410993010866</v>
      </c>
      <c r="N3" s="2">
        <v>-3744</v>
      </c>
      <c r="O3" s="2">
        <f>SUM(L3:N3)</f>
        <v>11159.818493010865</v>
      </c>
      <c r="P3" s="2">
        <f>O3</f>
        <v>11159.818493010865</v>
      </c>
      <c r="R3" s="2">
        <f>Grunddaten!F44</f>
        <v>1405.25</v>
      </c>
      <c r="S3" s="3">
        <f>Grunddaten!$B$8</f>
        <v>0.03</v>
      </c>
      <c r="T3" s="2">
        <f t="shared" ref="T3:T27" si="2">R3*(1+S3)</f>
        <v>1447.4075</v>
      </c>
      <c r="U3" s="2">
        <f>-Grunddaten!$E$80</f>
        <v>8214.3195008399925</v>
      </c>
      <c r="V3" s="2">
        <v>-3744</v>
      </c>
      <c r="W3" s="2">
        <f>SUM(T3:V3)</f>
        <v>5917.7270008399919</v>
      </c>
      <c r="X3" s="2">
        <f>W3</f>
        <v>5917.7270008399919</v>
      </c>
      <c r="Z3" s="2">
        <f>Grunddaten!F44</f>
        <v>1405.25</v>
      </c>
      <c r="AA3" s="3">
        <f>Grunddaten!$B$8</f>
        <v>0.03</v>
      </c>
      <c r="AB3" s="2">
        <f t="shared" ref="AB3:AB27" si="3">Z3*(1+AA3)</f>
        <v>1447.4075</v>
      </c>
      <c r="AC3" s="2">
        <f>-Grunddaten!$E$78</f>
        <v>10969.089182842497</v>
      </c>
      <c r="AD3" s="2">
        <v>-3744</v>
      </c>
      <c r="AE3" s="2">
        <f>SUM(AB3:AD3)</f>
        <v>8672.4966828424967</v>
      </c>
      <c r="AF3" s="2">
        <f>AE3</f>
        <v>8672.4966828424967</v>
      </c>
      <c r="AH3" s="2">
        <f>Grunddaten!F44</f>
        <v>1405.25</v>
      </c>
      <c r="AI3" s="3">
        <f>Grunddaten!$B$8</f>
        <v>0.03</v>
      </c>
      <c r="AJ3" s="2">
        <f t="shared" ref="AJ3:AJ27" si="4">AH3*(1+AI3)</f>
        <v>1447.4075</v>
      </c>
      <c r="AK3" s="2">
        <f>-Grunddaten!$E$82</f>
        <v>6695.9609979120823</v>
      </c>
      <c r="AL3" s="2">
        <v>-3744</v>
      </c>
      <c r="AM3" s="2">
        <f>SUM(AJ3:AL3)</f>
        <v>4399.3684979120826</v>
      </c>
      <c r="AN3" s="2">
        <f>AM3</f>
        <v>4399.3684979120826</v>
      </c>
    </row>
    <row r="4" spans="1:40" x14ac:dyDescent="0.3">
      <c r="A4">
        <v>2027</v>
      </c>
      <c r="C4" s="2">
        <f t="shared" ref="C4:C27" si="5">E3</f>
        <v>6592.5150000000003</v>
      </c>
      <c r="D4" s="3">
        <f>Grunddaten!$B$8</f>
        <v>0.03</v>
      </c>
      <c r="E4" s="2">
        <f t="shared" si="0"/>
        <v>6790.2904500000004</v>
      </c>
      <c r="F4" s="2"/>
      <c r="G4" s="2">
        <f>SUM(E4:F4)</f>
        <v>6790.2904500000004</v>
      </c>
      <c r="H4" s="2">
        <f>H3+G4</f>
        <v>13382.80545</v>
      </c>
      <c r="J4" s="2">
        <f t="shared" ref="J4" si="6">L3</f>
        <v>1447.4075</v>
      </c>
      <c r="K4" s="3">
        <f>Grunddaten!$B$8</f>
        <v>0.03</v>
      </c>
      <c r="L4" s="2">
        <f t="shared" si="1"/>
        <v>1490.8297250000001</v>
      </c>
      <c r="M4" s="2">
        <f>-Grunddaten!$E$76</f>
        <v>13456.410993010866</v>
      </c>
      <c r="N4" s="2">
        <f>N3</f>
        <v>-3744</v>
      </c>
      <c r="O4" s="2">
        <f t="shared" ref="O4:O27" si="7">SUM(L4:N4)</f>
        <v>11203.240718010866</v>
      </c>
      <c r="P4" s="2">
        <f>P3+O4</f>
        <v>22363.059211021733</v>
      </c>
      <c r="R4" s="2">
        <f t="shared" ref="R4:R27" si="8">T3</f>
        <v>1447.4075</v>
      </c>
      <c r="S4" s="3">
        <f>Grunddaten!$B$8</f>
        <v>0.03</v>
      </c>
      <c r="T4" s="2">
        <f t="shared" si="2"/>
        <v>1490.8297250000001</v>
      </c>
      <c r="U4" s="2">
        <f>-Grunddaten!$E$80</f>
        <v>8214.3195008399925</v>
      </c>
      <c r="V4" s="2">
        <f>V3</f>
        <v>-3744</v>
      </c>
      <c r="W4" s="2">
        <f t="shared" ref="W4:W27" si="9">SUM(T4:V4)</f>
        <v>5961.1492258399921</v>
      </c>
      <c r="X4" s="2">
        <f>X3+W4</f>
        <v>11878.876226679984</v>
      </c>
      <c r="Z4" s="2">
        <f t="shared" ref="Z4:Z27" si="10">AB3</f>
        <v>1447.4075</v>
      </c>
      <c r="AA4" s="3">
        <f>Grunddaten!$B$8</f>
        <v>0.03</v>
      </c>
      <c r="AB4" s="2">
        <f t="shared" si="3"/>
        <v>1490.8297250000001</v>
      </c>
      <c r="AC4" s="2">
        <f>-Grunddaten!$E$78</f>
        <v>10969.089182842497</v>
      </c>
      <c r="AD4" s="2">
        <f>AD3</f>
        <v>-3744</v>
      </c>
      <c r="AE4" s="2">
        <f t="shared" ref="AE4:AE27" si="11">SUM(AB4:AD4)</f>
        <v>8715.918907842497</v>
      </c>
      <c r="AF4" s="2">
        <f>AF3+AE4</f>
        <v>17388.415590684992</v>
      </c>
      <c r="AH4" s="2">
        <f t="shared" ref="AH4:AH27" si="12">AJ3</f>
        <v>1447.4075</v>
      </c>
      <c r="AI4" s="3">
        <f>Grunddaten!$B$8</f>
        <v>0.03</v>
      </c>
      <c r="AJ4" s="2">
        <f t="shared" si="4"/>
        <v>1490.8297250000001</v>
      </c>
      <c r="AK4" s="2">
        <f>-Grunddaten!$E$82</f>
        <v>6695.9609979120823</v>
      </c>
      <c r="AL4" s="2">
        <f>AL3</f>
        <v>-3744</v>
      </c>
      <c r="AM4" s="2">
        <f t="shared" ref="AM4:AM27" si="13">SUM(AJ4:AL4)</f>
        <v>4442.7907229120829</v>
      </c>
      <c r="AN4" s="2">
        <f>AN3+AM4</f>
        <v>8842.1592208241655</v>
      </c>
    </row>
    <row r="5" spans="1:40" x14ac:dyDescent="0.3">
      <c r="A5">
        <v>2028</v>
      </c>
      <c r="C5" s="2">
        <f t="shared" si="5"/>
        <v>6790.2904500000004</v>
      </c>
      <c r="D5" s="3">
        <f>Grunddaten!$B$8</f>
        <v>0.03</v>
      </c>
      <c r="E5" s="2">
        <f t="shared" si="0"/>
        <v>6993.9991635000006</v>
      </c>
      <c r="F5" s="2"/>
      <c r="G5" s="2">
        <f t="shared" ref="G5:G27" si="14">SUM(E5:F5)</f>
        <v>6993.9991635000006</v>
      </c>
      <c r="H5" s="2">
        <f t="shared" ref="H5:H27" si="15">H4+G5</f>
        <v>20376.8046135</v>
      </c>
      <c r="J5" s="2">
        <f t="shared" ref="J5:J27" si="16">L4</f>
        <v>1490.8297250000001</v>
      </c>
      <c r="K5" s="3">
        <f>Grunddaten!$B$8</f>
        <v>0.03</v>
      </c>
      <c r="L5" s="2">
        <f t="shared" ref="L5:L27" si="17">J5*(1+K5)</f>
        <v>1535.5546167500002</v>
      </c>
      <c r="M5" s="2">
        <f>-Grunddaten!$E$76</f>
        <v>13456.410993010866</v>
      </c>
      <c r="N5" s="2">
        <f t="shared" ref="N5:N12" si="18">N4</f>
        <v>-3744</v>
      </c>
      <c r="O5" s="2">
        <f t="shared" si="7"/>
        <v>11247.965609760866</v>
      </c>
      <c r="P5" s="2">
        <f t="shared" ref="P5:P27" si="19">P4+O5</f>
        <v>33611.024820782601</v>
      </c>
      <c r="R5" s="2">
        <f t="shared" si="8"/>
        <v>1490.8297250000001</v>
      </c>
      <c r="S5" s="3">
        <f>Grunddaten!$B$8</f>
        <v>0.03</v>
      </c>
      <c r="T5" s="2">
        <f t="shared" si="2"/>
        <v>1535.5546167500002</v>
      </c>
      <c r="U5" s="2">
        <f>-Grunddaten!$E$80</f>
        <v>8214.3195008399925</v>
      </c>
      <c r="V5" s="2">
        <f t="shared" ref="V5:V12" si="20">V4</f>
        <v>-3744</v>
      </c>
      <c r="W5" s="2">
        <f t="shared" si="9"/>
        <v>6005.8741175899922</v>
      </c>
      <c r="X5" s="2">
        <f t="shared" ref="X5:X27" si="21">X4+W5</f>
        <v>17884.750344269974</v>
      </c>
      <c r="Z5" s="2">
        <f t="shared" si="10"/>
        <v>1490.8297250000001</v>
      </c>
      <c r="AA5" s="3">
        <f>Grunddaten!$B$8</f>
        <v>0.03</v>
      </c>
      <c r="AB5" s="2">
        <f t="shared" si="3"/>
        <v>1535.5546167500002</v>
      </c>
      <c r="AC5" s="2">
        <f>-Grunddaten!$E$78</f>
        <v>10969.089182842497</v>
      </c>
      <c r="AD5" s="2">
        <f t="shared" ref="AD5:AD12" si="22">AD4</f>
        <v>-3744</v>
      </c>
      <c r="AE5" s="2">
        <f t="shared" si="11"/>
        <v>8760.6437995924971</v>
      </c>
      <c r="AF5" s="2">
        <f t="shared" ref="AF5:AF27" si="23">AF4+AE5</f>
        <v>26149.059390277489</v>
      </c>
      <c r="AH5" s="2">
        <f t="shared" si="12"/>
        <v>1490.8297250000001</v>
      </c>
      <c r="AI5" s="3">
        <f>Grunddaten!$B$8</f>
        <v>0.03</v>
      </c>
      <c r="AJ5" s="2">
        <f t="shared" si="4"/>
        <v>1535.5546167500002</v>
      </c>
      <c r="AK5" s="2">
        <f>-Grunddaten!$E$82</f>
        <v>6695.9609979120823</v>
      </c>
      <c r="AL5" s="2">
        <f t="shared" ref="AL5:AL12" si="24">AL4</f>
        <v>-3744</v>
      </c>
      <c r="AM5" s="2">
        <f t="shared" si="13"/>
        <v>4487.515614662083</v>
      </c>
      <c r="AN5" s="2">
        <f t="shared" ref="AN5:AN27" si="25">AN4+AM5</f>
        <v>13329.674835486248</v>
      </c>
    </row>
    <row r="6" spans="1:40" x14ac:dyDescent="0.3">
      <c r="A6">
        <v>2029</v>
      </c>
      <c r="C6" s="2">
        <f t="shared" si="5"/>
        <v>6993.9991635000006</v>
      </c>
      <c r="D6" s="3">
        <f>Grunddaten!$B$8</f>
        <v>0.03</v>
      </c>
      <c r="E6" s="2">
        <f t="shared" si="0"/>
        <v>7203.8191384050006</v>
      </c>
      <c r="F6" s="2"/>
      <c r="G6" s="2">
        <f t="shared" si="14"/>
        <v>7203.8191384050006</v>
      </c>
      <c r="H6" s="2">
        <f t="shared" si="15"/>
        <v>27580.623751905001</v>
      </c>
      <c r="J6" s="2">
        <f t="shared" si="16"/>
        <v>1535.5546167500002</v>
      </c>
      <c r="K6" s="3">
        <f>Grunddaten!$B$8</f>
        <v>0.03</v>
      </c>
      <c r="L6" s="2">
        <f t="shared" si="17"/>
        <v>1581.6212552525003</v>
      </c>
      <c r="M6" s="2">
        <f>-Grunddaten!$E$76</f>
        <v>13456.410993010866</v>
      </c>
      <c r="N6" s="2">
        <f t="shared" si="18"/>
        <v>-3744</v>
      </c>
      <c r="O6" s="2">
        <f t="shared" si="7"/>
        <v>11294.032248263367</v>
      </c>
      <c r="P6" s="2">
        <f t="shared" si="19"/>
        <v>44905.057069045972</v>
      </c>
      <c r="R6" s="2">
        <f t="shared" si="8"/>
        <v>1535.5546167500002</v>
      </c>
      <c r="S6" s="3">
        <f>Grunddaten!$B$8</f>
        <v>0.03</v>
      </c>
      <c r="T6" s="2">
        <f t="shared" si="2"/>
        <v>1581.6212552525003</v>
      </c>
      <c r="U6" s="2">
        <f>-Grunddaten!$E$80</f>
        <v>8214.3195008399925</v>
      </c>
      <c r="V6" s="2">
        <f t="shared" si="20"/>
        <v>-3744</v>
      </c>
      <c r="W6" s="2">
        <f t="shared" si="9"/>
        <v>6051.9407560924919</v>
      </c>
      <c r="X6" s="2">
        <f t="shared" si="21"/>
        <v>23936.691100362466</v>
      </c>
      <c r="Z6" s="2">
        <f t="shared" si="10"/>
        <v>1535.5546167500002</v>
      </c>
      <c r="AA6" s="3">
        <f>Grunddaten!$B$8</f>
        <v>0.03</v>
      </c>
      <c r="AB6" s="2">
        <f t="shared" si="3"/>
        <v>1581.6212552525003</v>
      </c>
      <c r="AC6" s="2">
        <f>-Grunddaten!$E$78</f>
        <v>10969.089182842497</v>
      </c>
      <c r="AD6" s="2">
        <f t="shared" si="22"/>
        <v>-3744</v>
      </c>
      <c r="AE6" s="2">
        <f t="shared" si="11"/>
        <v>8806.7104380949968</v>
      </c>
      <c r="AF6" s="2">
        <f t="shared" si="23"/>
        <v>34955.769828372489</v>
      </c>
      <c r="AH6" s="2">
        <f t="shared" si="12"/>
        <v>1535.5546167500002</v>
      </c>
      <c r="AI6" s="3">
        <f>Grunddaten!$B$8</f>
        <v>0.03</v>
      </c>
      <c r="AJ6" s="2">
        <f t="shared" si="4"/>
        <v>1581.6212552525003</v>
      </c>
      <c r="AK6" s="2">
        <f>-Grunddaten!$E$82</f>
        <v>6695.9609979120823</v>
      </c>
      <c r="AL6" s="2">
        <f t="shared" si="24"/>
        <v>-3744</v>
      </c>
      <c r="AM6" s="2">
        <f t="shared" si="13"/>
        <v>4533.5822531645827</v>
      </c>
      <c r="AN6" s="2">
        <f t="shared" si="25"/>
        <v>17863.257088650833</v>
      </c>
    </row>
    <row r="7" spans="1:40" x14ac:dyDescent="0.3">
      <c r="A7">
        <v>2030</v>
      </c>
      <c r="C7" s="2">
        <f t="shared" si="5"/>
        <v>7203.8191384050006</v>
      </c>
      <c r="D7" s="3">
        <f>Grunddaten!$B$8</f>
        <v>0.03</v>
      </c>
      <c r="E7" s="2">
        <f t="shared" si="0"/>
        <v>7419.933712557151</v>
      </c>
      <c r="F7" s="2">
        <f>Grunddaten!B45</f>
        <v>10000</v>
      </c>
      <c r="G7" s="2">
        <f t="shared" si="14"/>
        <v>17419.933712557151</v>
      </c>
      <c r="H7" s="26">
        <f t="shared" si="15"/>
        <v>45000.557464462152</v>
      </c>
      <c r="J7" s="2">
        <f t="shared" si="16"/>
        <v>1581.6212552525003</v>
      </c>
      <c r="K7" s="3">
        <f>Grunddaten!$B$8</f>
        <v>0.03</v>
      </c>
      <c r="L7" s="2">
        <f t="shared" si="17"/>
        <v>1629.0698929100754</v>
      </c>
      <c r="M7" s="2">
        <f>-Grunddaten!$E$76</f>
        <v>13456.410993010866</v>
      </c>
      <c r="N7" s="2">
        <f t="shared" si="18"/>
        <v>-3744</v>
      </c>
      <c r="O7" s="2">
        <f t="shared" si="7"/>
        <v>11341.480885920941</v>
      </c>
      <c r="P7" s="26">
        <f t="shared" si="19"/>
        <v>56246.537954966916</v>
      </c>
      <c r="R7" s="2">
        <f t="shared" si="8"/>
        <v>1581.6212552525003</v>
      </c>
      <c r="S7" s="3">
        <f>Grunddaten!$B$8</f>
        <v>0.03</v>
      </c>
      <c r="T7" s="2">
        <f t="shared" si="2"/>
        <v>1629.0698929100754</v>
      </c>
      <c r="U7" s="2">
        <f>-Grunddaten!$E$80</f>
        <v>8214.3195008399925</v>
      </c>
      <c r="V7" s="2">
        <f t="shared" si="20"/>
        <v>-3744</v>
      </c>
      <c r="W7" s="2">
        <f t="shared" si="9"/>
        <v>6099.3893937500688</v>
      </c>
      <c r="X7" s="26">
        <f t="shared" si="21"/>
        <v>30036.080494112535</v>
      </c>
      <c r="Z7" s="2">
        <f t="shared" si="10"/>
        <v>1581.6212552525003</v>
      </c>
      <c r="AA7" s="3">
        <f>Grunddaten!$B$8</f>
        <v>0.03</v>
      </c>
      <c r="AB7" s="2">
        <f t="shared" si="3"/>
        <v>1629.0698929100754</v>
      </c>
      <c r="AC7" s="2">
        <f>-Grunddaten!$E$78</f>
        <v>10969.089182842497</v>
      </c>
      <c r="AD7" s="2">
        <f t="shared" si="22"/>
        <v>-3744</v>
      </c>
      <c r="AE7" s="2">
        <f t="shared" si="11"/>
        <v>8854.1590757525737</v>
      </c>
      <c r="AF7" s="26">
        <f t="shared" si="23"/>
        <v>43809.928904125059</v>
      </c>
      <c r="AH7" s="2">
        <f t="shared" si="12"/>
        <v>1581.6212552525003</v>
      </c>
      <c r="AI7" s="3">
        <f>Grunddaten!$B$8</f>
        <v>0.03</v>
      </c>
      <c r="AJ7" s="2">
        <f t="shared" si="4"/>
        <v>1629.0698929100754</v>
      </c>
      <c r="AK7" s="2">
        <f>-Grunddaten!$E$82</f>
        <v>6695.9609979120823</v>
      </c>
      <c r="AL7" s="2">
        <f t="shared" si="24"/>
        <v>-3744</v>
      </c>
      <c r="AM7" s="2">
        <f t="shared" si="13"/>
        <v>4581.0308908221577</v>
      </c>
      <c r="AN7" s="26">
        <f t="shared" si="25"/>
        <v>22444.287979472989</v>
      </c>
    </row>
    <row r="8" spans="1:40" x14ac:dyDescent="0.3">
      <c r="A8">
        <v>2031</v>
      </c>
      <c r="C8" s="2">
        <f t="shared" si="5"/>
        <v>7419.933712557151</v>
      </c>
      <c r="D8" s="3">
        <f>Grunddaten!$B$8</f>
        <v>0.03</v>
      </c>
      <c r="E8" s="2">
        <f t="shared" si="0"/>
        <v>7642.5317239338656</v>
      </c>
      <c r="F8" s="2"/>
      <c r="G8" s="2">
        <f t="shared" si="14"/>
        <v>7642.5317239338656</v>
      </c>
      <c r="H8" s="2">
        <f t="shared" si="15"/>
        <v>52643.089188396014</v>
      </c>
      <c r="J8" s="2">
        <f t="shared" si="16"/>
        <v>1629.0698929100754</v>
      </c>
      <c r="K8" s="3">
        <f>Grunddaten!$B$8</f>
        <v>0.03</v>
      </c>
      <c r="L8" s="2">
        <f t="shared" si="17"/>
        <v>1677.9419896973777</v>
      </c>
      <c r="M8" s="2">
        <f>-Grunddaten!$E$76</f>
        <v>13456.410993010866</v>
      </c>
      <c r="N8" s="2">
        <f t="shared" si="18"/>
        <v>-3744</v>
      </c>
      <c r="O8" s="2">
        <f t="shared" si="7"/>
        <v>11390.352982708244</v>
      </c>
      <c r="P8" s="2">
        <f t="shared" si="19"/>
        <v>67636.890937675154</v>
      </c>
      <c r="R8" s="2">
        <f t="shared" si="8"/>
        <v>1629.0698929100754</v>
      </c>
      <c r="S8" s="3">
        <f>Grunddaten!$B$8</f>
        <v>0.03</v>
      </c>
      <c r="T8" s="2">
        <f t="shared" si="2"/>
        <v>1677.9419896973777</v>
      </c>
      <c r="U8" s="2">
        <f>-Grunddaten!$E$80</f>
        <v>8214.3195008399925</v>
      </c>
      <c r="V8" s="2">
        <f t="shared" si="20"/>
        <v>-3744</v>
      </c>
      <c r="W8" s="2">
        <f t="shared" si="9"/>
        <v>6148.2614905373703</v>
      </c>
      <c r="X8" s="2">
        <f t="shared" si="21"/>
        <v>36184.341984649902</v>
      </c>
      <c r="Z8" s="2">
        <f t="shared" si="10"/>
        <v>1629.0698929100754</v>
      </c>
      <c r="AA8" s="3">
        <f>Grunddaten!$B$8</f>
        <v>0.03</v>
      </c>
      <c r="AB8" s="2">
        <f t="shared" si="3"/>
        <v>1677.9419896973777</v>
      </c>
      <c r="AC8" s="2">
        <f>-Grunddaten!$E$78</f>
        <v>10969.089182842497</v>
      </c>
      <c r="AD8" s="2">
        <f t="shared" si="22"/>
        <v>-3744</v>
      </c>
      <c r="AE8" s="2">
        <f t="shared" si="11"/>
        <v>8903.0311725398751</v>
      </c>
      <c r="AF8" s="2">
        <f t="shared" si="23"/>
        <v>52712.960076664938</v>
      </c>
      <c r="AH8" s="2">
        <f t="shared" si="12"/>
        <v>1629.0698929100754</v>
      </c>
      <c r="AI8" s="3">
        <f>Grunddaten!$B$8</f>
        <v>0.03</v>
      </c>
      <c r="AJ8" s="2">
        <f t="shared" si="4"/>
        <v>1677.9419896973777</v>
      </c>
      <c r="AK8" s="2">
        <f>-Grunddaten!$E$82</f>
        <v>6695.9609979120823</v>
      </c>
      <c r="AL8" s="2">
        <f t="shared" si="24"/>
        <v>-3744</v>
      </c>
      <c r="AM8" s="2">
        <f t="shared" si="13"/>
        <v>4629.902987609461</v>
      </c>
      <c r="AN8" s="2">
        <f t="shared" si="25"/>
        <v>27074.19096708245</v>
      </c>
    </row>
    <row r="9" spans="1:40" x14ac:dyDescent="0.3">
      <c r="A9">
        <v>2032</v>
      </c>
      <c r="C9" s="2">
        <f t="shared" si="5"/>
        <v>7642.5317239338656</v>
      </c>
      <c r="D9" s="3">
        <f>Grunddaten!$B$8</f>
        <v>0.03</v>
      </c>
      <c r="E9" s="2">
        <f t="shared" si="0"/>
        <v>7871.8076756518822</v>
      </c>
      <c r="F9" s="2"/>
      <c r="G9" s="2">
        <f t="shared" si="14"/>
        <v>7871.8076756518822</v>
      </c>
      <c r="H9" s="2">
        <f t="shared" si="15"/>
        <v>60514.8968640479</v>
      </c>
      <c r="J9" s="2">
        <f t="shared" si="16"/>
        <v>1677.9419896973777</v>
      </c>
      <c r="K9" s="3">
        <f>Grunddaten!$B$8</f>
        <v>0.03</v>
      </c>
      <c r="L9" s="2">
        <f t="shared" si="17"/>
        <v>1728.2802493882991</v>
      </c>
      <c r="M9" s="2">
        <f>-Grunddaten!$E$76</f>
        <v>13456.410993010866</v>
      </c>
      <c r="N9" s="2">
        <f t="shared" si="18"/>
        <v>-3744</v>
      </c>
      <c r="O9" s="2">
        <f t="shared" si="7"/>
        <v>11440.691242399165</v>
      </c>
      <c r="P9" s="2">
        <f t="shared" si="19"/>
        <v>79077.582180074314</v>
      </c>
      <c r="R9" s="2">
        <f t="shared" si="8"/>
        <v>1677.9419896973777</v>
      </c>
      <c r="S9" s="3">
        <f>Grunddaten!$B$8</f>
        <v>0.03</v>
      </c>
      <c r="T9" s="2">
        <f t="shared" si="2"/>
        <v>1728.2802493882991</v>
      </c>
      <c r="U9" s="2">
        <f>-Grunddaten!$E$80</f>
        <v>8214.3195008399925</v>
      </c>
      <c r="V9" s="2">
        <f t="shared" si="20"/>
        <v>-3744</v>
      </c>
      <c r="W9" s="2">
        <f t="shared" si="9"/>
        <v>6198.5997502282917</v>
      </c>
      <c r="X9" s="2">
        <f t="shared" si="21"/>
        <v>42382.941734878194</v>
      </c>
      <c r="Z9" s="2">
        <f t="shared" si="10"/>
        <v>1677.9419896973777</v>
      </c>
      <c r="AA9" s="3">
        <f>Grunddaten!$B$8</f>
        <v>0.03</v>
      </c>
      <c r="AB9" s="2">
        <f t="shared" si="3"/>
        <v>1728.2802493882991</v>
      </c>
      <c r="AC9" s="2">
        <f>-Grunddaten!$E$78</f>
        <v>10969.089182842497</v>
      </c>
      <c r="AD9" s="2">
        <f t="shared" si="22"/>
        <v>-3744</v>
      </c>
      <c r="AE9" s="2">
        <f t="shared" si="11"/>
        <v>8953.3694322307965</v>
      </c>
      <c r="AF9" s="2">
        <f t="shared" si="23"/>
        <v>61666.329508895738</v>
      </c>
      <c r="AH9" s="2">
        <f t="shared" si="12"/>
        <v>1677.9419896973777</v>
      </c>
      <c r="AI9" s="3">
        <f>Grunddaten!$B$8</f>
        <v>0.03</v>
      </c>
      <c r="AJ9" s="2">
        <f t="shared" si="4"/>
        <v>1728.2802493882991</v>
      </c>
      <c r="AK9" s="2">
        <f>-Grunddaten!$E$82</f>
        <v>6695.9609979120823</v>
      </c>
      <c r="AL9" s="2">
        <f t="shared" si="24"/>
        <v>-3744</v>
      </c>
      <c r="AM9" s="2">
        <f t="shared" si="13"/>
        <v>4680.2412473003824</v>
      </c>
      <c r="AN9" s="2">
        <f t="shared" si="25"/>
        <v>31754.432214382832</v>
      </c>
    </row>
    <row r="10" spans="1:40" x14ac:dyDescent="0.3">
      <c r="A10">
        <v>2033</v>
      </c>
      <c r="C10" s="2">
        <f t="shared" si="5"/>
        <v>7871.8076756518822</v>
      </c>
      <c r="D10" s="3">
        <f>Grunddaten!$B$8</f>
        <v>0.03</v>
      </c>
      <c r="E10" s="2">
        <f t="shared" si="0"/>
        <v>8107.9619059214392</v>
      </c>
      <c r="F10" s="2"/>
      <c r="G10" s="2">
        <f t="shared" si="14"/>
        <v>8107.9619059214392</v>
      </c>
      <c r="H10" s="2">
        <f t="shared" si="15"/>
        <v>68622.858769969345</v>
      </c>
      <c r="J10" s="2">
        <f t="shared" si="16"/>
        <v>1728.2802493882991</v>
      </c>
      <c r="K10" s="3">
        <f>Grunddaten!$B$8</f>
        <v>0.03</v>
      </c>
      <c r="L10" s="2">
        <f t="shared" si="17"/>
        <v>1780.1286568699481</v>
      </c>
      <c r="M10" s="2">
        <f>-Grunddaten!$E$76</f>
        <v>13456.410993010866</v>
      </c>
      <c r="N10" s="2">
        <f t="shared" si="18"/>
        <v>-3744</v>
      </c>
      <c r="O10" s="2">
        <f t="shared" si="7"/>
        <v>11492.539649880815</v>
      </c>
      <c r="P10" s="2">
        <f t="shared" si="19"/>
        <v>90570.121829955126</v>
      </c>
      <c r="R10" s="2">
        <f t="shared" si="8"/>
        <v>1728.2802493882991</v>
      </c>
      <c r="S10" s="3">
        <f>Grunddaten!$B$8</f>
        <v>0.03</v>
      </c>
      <c r="T10" s="2">
        <f t="shared" si="2"/>
        <v>1780.1286568699481</v>
      </c>
      <c r="U10" s="2">
        <f>-Grunddaten!$E$80</f>
        <v>8214.3195008399925</v>
      </c>
      <c r="V10" s="2">
        <f t="shared" si="20"/>
        <v>-3744</v>
      </c>
      <c r="W10" s="2">
        <f t="shared" si="9"/>
        <v>6250.4481577099414</v>
      </c>
      <c r="X10" s="2">
        <f t="shared" si="21"/>
        <v>48633.389892588137</v>
      </c>
      <c r="Z10" s="2">
        <f t="shared" si="10"/>
        <v>1728.2802493882991</v>
      </c>
      <c r="AA10" s="3">
        <f>Grunddaten!$B$8</f>
        <v>0.03</v>
      </c>
      <c r="AB10" s="2">
        <f t="shared" si="3"/>
        <v>1780.1286568699481</v>
      </c>
      <c r="AC10" s="2">
        <f>-Grunddaten!$E$78</f>
        <v>10969.089182842497</v>
      </c>
      <c r="AD10" s="2">
        <f t="shared" si="22"/>
        <v>-3744</v>
      </c>
      <c r="AE10" s="2">
        <f t="shared" si="11"/>
        <v>9005.2178397124462</v>
      </c>
      <c r="AF10" s="2">
        <f t="shared" si="23"/>
        <v>70671.54734860819</v>
      </c>
      <c r="AH10" s="2">
        <f t="shared" si="12"/>
        <v>1728.2802493882991</v>
      </c>
      <c r="AI10" s="3">
        <f>Grunddaten!$B$8</f>
        <v>0.03</v>
      </c>
      <c r="AJ10" s="2">
        <f t="shared" si="4"/>
        <v>1780.1286568699481</v>
      </c>
      <c r="AK10" s="2">
        <f>-Grunddaten!$E$82</f>
        <v>6695.9609979120823</v>
      </c>
      <c r="AL10" s="2">
        <f t="shared" si="24"/>
        <v>-3744</v>
      </c>
      <c r="AM10" s="2">
        <f t="shared" si="13"/>
        <v>4732.0896547820303</v>
      </c>
      <c r="AN10" s="2">
        <f t="shared" si="25"/>
        <v>36486.521869164862</v>
      </c>
    </row>
    <row r="11" spans="1:40" x14ac:dyDescent="0.3">
      <c r="A11">
        <v>2034</v>
      </c>
      <c r="C11" s="2">
        <f t="shared" si="5"/>
        <v>8107.9619059214392</v>
      </c>
      <c r="D11" s="3">
        <f>Grunddaten!$B$8</f>
        <v>0.03</v>
      </c>
      <c r="E11" s="2">
        <f t="shared" si="0"/>
        <v>8351.2007630990829</v>
      </c>
      <c r="F11" s="2"/>
      <c r="G11" s="2">
        <f t="shared" si="14"/>
        <v>8351.2007630990829</v>
      </c>
      <c r="H11" s="2">
        <f t="shared" si="15"/>
        <v>76974.05953306843</v>
      </c>
      <c r="J11" s="2">
        <f t="shared" si="16"/>
        <v>1780.1286568699481</v>
      </c>
      <c r="K11" s="3">
        <f>Grunddaten!$B$8</f>
        <v>0.03</v>
      </c>
      <c r="L11" s="2">
        <f t="shared" si="17"/>
        <v>1833.5325165760466</v>
      </c>
      <c r="M11" s="2">
        <f>-Grunddaten!$E$76</f>
        <v>13456.410993010866</v>
      </c>
      <c r="N11" s="2">
        <f t="shared" si="18"/>
        <v>-3744</v>
      </c>
      <c r="O11" s="2">
        <f t="shared" si="7"/>
        <v>11545.943509586912</v>
      </c>
      <c r="P11" s="2">
        <f t="shared" si="19"/>
        <v>102116.06533954204</v>
      </c>
      <c r="R11" s="2">
        <f t="shared" si="8"/>
        <v>1780.1286568699481</v>
      </c>
      <c r="S11" s="3">
        <f>Grunddaten!$B$8</f>
        <v>0.03</v>
      </c>
      <c r="T11" s="2">
        <f t="shared" si="2"/>
        <v>1833.5325165760466</v>
      </c>
      <c r="U11" s="2">
        <f>-Grunddaten!$E$80</f>
        <v>8214.3195008399925</v>
      </c>
      <c r="V11" s="2">
        <f t="shared" si="20"/>
        <v>-3744</v>
      </c>
      <c r="W11" s="2">
        <f t="shared" si="9"/>
        <v>6303.8520174160385</v>
      </c>
      <c r="X11" s="2">
        <f t="shared" si="21"/>
        <v>54937.241910004173</v>
      </c>
      <c r="Z11" s="2">
        <f t="shared" si="10"/>
        <v>1780.1286568699481</v>
      </c>
      <c r="AA11" s="3">
        <f>Grunddaten!$B$8</f>
        <v>0.03</v>
      </c>
      <c r="AB11" s="2">
        <f t="shared" si="3"/>
        <v>1833.5325165760466</v>
      </c>
      <c r="AC11" s="2">
        <f>-Grunddaten!$E$78</f>
        <v>10969.089182842497</v>
      </c>
      <c r="AD11" s="2">
        <f t="shared" si="22"/>
        <v>-3744</v>
      </c>
      <c r="AE11" s="2">
        <f t="shared" si="11"/>
        <v>9058.6216994185434</v>
      </c>
      <c r="AF11" s="2">
        <f t="shared" si="23"/>
        <v>79730.169048026728</v>
      </c>
      <c r="AH11" s="2">
        <f t="shared" si="12"/>
        <v>1780.1286568699481</v>
      </c>
      <c r="AI11" s="3">
        <f>Grunddaten!$B$8</f>
        <v>0.03</v>
      </c>
      <c r="AJ11" s="2">
        <f t="shared" si="4"/>
        <v>1833.5325165760466</v>
      </c>
      <c r="AK11" s="2">
        <f>-Grunddaten!$E$82</f>
        <v>6695.9609979120823</v>
      </c>
      <c r="AL11" s="2">
        <f t="shared" si="24"/>
        <v>-3744</v>
      </c>
      <c r="AM11" s="2">
        <f t="shared" si="13"/>
        <v>4785.4935144881292</v>
      </c>
      <c r="AN11" s="2">
        <f t="shared" si="25"/>
        <v>41272.015383652993</v>
      </c>
    </row>
    <row r="12" spans="1:40" x14ac:dyDescent="0.3">
      <c r="A12">
        <v>2035</v>
      </c>
      <c r="C12" s="2">
        <f t="shared" si="5"/>
        <v>8351.2007630990829</v>
      </c>
      <c r="D12" s="3">
        <f>Grunddaten!$B$8</f>
        <v>0.03</v>
      </c>
      <c r="E12" s="2">
        <f t="shared" si="0"/>
        <v>8601.736785992056</v>
      </c>
      <c r="F12" s="2"/>
      <c r="G12" s="2">
        <f t="shared" si="14"/>
        <v>8601.736785992056</v>
      </c>
      <c r="H12" s="26">
        <f t="shared" si="15"/>
        <v>85575.796319060493</v>
      </c>
      <c r="J12" s="2">
        <f t="shared" si="16"/>
        <v>1833.5325165760466</v>
      </c>
      <c r="K12" s="3">
        <f>Grunddaten!$B$8</f>
        <v>0.03</v>
      </c>
      <c r="L12" s="2">
        <f t="shared" si="17"/>
        <v>1888.5384920733281</v>
      </c>
      <c r="M12" s="2">
        <f>-Grunddaten!$E$76</f>
        <v>13456.410993010866</v>
      </c>
      <c r="N12" s="2">
        <f t="shared" si="18"/>
        <v>-3744</v>
      </c>
      <c r="O12" s="2">
        <f t="shared" si="7"/>
        <v>11600.949485084195</v>
      </c>
      <c r="P12" s="26">
        <f t="shared" si="19"/>
        <v>113717.01482462624</v>
      </c>
      <c r="R12" s="2">
        <f t="shared" si="8"/>
        <v>1833.5325165760466</v>
      </c>
      <c r="S12" s="3">
        <f>Grunddaten!$B$8</f>
        <v>0.03</v>
      </c>
      <c r="T12" s="2">
        <f t="shared" si="2"/>
        <v>1888.5384920733281</v>
      </c>
      <c r="U12" s="2">
        <f>-Grunddaten!$E$80</f>
        <v>8214.3195008399925</v>
      </c>
      <c r="V12" s="2">
        <f t="shared" si="20"/>
        <v>-3744</v>
      </c>
      <c r="W12" s="2">
        <f t="shared" si="9"/>
        <v>6358.8579929133211</v>
      </c>
      <c r="X12" s="26">
        <f t="shared" si="21"/>
        <v>61296.099902917493</v>
      </c>
      <c r="Z12" s="2">
        <f t="shared" si="10"/>
        <v>1833.5325165760466</v>
      </c>
      <c r="AA12" s="3">
        <f>Grunddaten!$B$8</f>
        <v>0.03</v>
      </c>
      <c r="AB12" s="2">
        <f t="shared" si="3"/>
        <v>1888.5384920733281</v>
      </c>
      <c r="AC12" s="2">
        <f>-Grunddaten!$E$78</f>
        <v>10969.089182842497</v>
      </c>
      <c r="AD12" s="2">
        <f t="shared" si="22"/>
        <v>-3744</v>
      </c>
      <c r="AE12" s="2">
        <f t="shared" si="11"/>
        <v>9113.627674915826</v>
      </c>
      <c r="AF12" s="26">
        <f t="shared" si="23"/>
        <v>88843.796722942556</v>
      </c>
      <c r="AH12" s="2">
        <f t="shared" si="12"/>
        <v>1833.5325165760466</v>
      </c>
      <c r="AI12" s="3">
        <f>Grunddaten!$B$8</f>
        <v>0.03</v>
      </c>
      <c r="AJ12" s="2">
        <f t="shared" si="4"/>
        <v>1888.5384920733281</v>
      </c>
      <c r="AK12" s="2">
        <f>-Grunddaten!$E$82</f>
        <v>6695.9609979120823</v>
      </c>
      <c r="AL12" s="2">
        <f t="shared" si="24"/>
        <v>-3744</v>
      </c>
      <c r="AM12" s="2">
        <f t="shared" si="13"/>
        <v>4840.49948998541</v>
      </c>
      <c r="AN12" s="26">
        <f t="shared" si="25"/>
        <v>46112.5148736384</v>
      </c>
    </row>
    <row r="13" spans="1:40" x14ac:dyDescent="0.3">
      <c r="A13">
        <v>2036</v>
      </c>
      <c r="C13" s="2">
        <f t="shared" si="5"/>
        <v>8601.736785992056</v>
      </c>
      <c r="D13" s="3">
        <f>Grunddaten!$B$8</f>
        <v>0.03</v>
      </c>
      <c r="E13" s="2">
        <f t="shared" si="0"/>
        <v>8859.788889571817</v>
      </c>
      <c r="F13" s="2"/>
      <c r="G13" s="2">
        <f t="shared" si="14"/>
        <v>8859.788889571817</v>
      </c>
      <c r="H13" s="2">
        <f t="shared" si="15"/>
        <v>94435.585208632314</v>
      </c>
      <c r="J13" s="2">
        <f t="shared" si="16"/>
        <v>1888.5384920733281</v>
      </c>
      <c r="K13" s="3">
        <f>Grunddaten!$B$8</f>
        <v>0.03</v>
      </c>
      <c r="L13" s="2">
        <f t="shared" si="17"/>
        <v>1945.1946468355281</v>
      </c>
      <c r="M13" s="2"/>
      <c r="N13" s="2"/>
      <c r="O13" s="2">
        <f t="shared" si="7"/>
        <v>1945.1946468355281</v>
      </c>
      <c r="P13" s="2">
        <f t="shared" si="19"/>
        <v>115662.20947146177</v>
      </c>
      <c r="R13" s="2">
        <f t="shared" si="8"/>
        <v>1888.5384920733281</v>
      </c>
      <c r="S13" s="3">
        <f>Grunddaten!$B$8</f>
        <v>0.03</v>
      </c>
      <c r="T13" s="2">
        <f t="shared" si="2"/>
        <v>1945.1946468355281</v>
      </c>
      <c r="U13" s="2">
        <f>-Grunddaten!$E$80</f>
        <v>8214.3195008399925</v>
      </c>
      <c r="V13" s="2"/>
      <c r="W13" s="2">
        <f t="shared" si="9"/>
        <v>10159.51414767552</v>
      </c>
      <c r="X13" s="2">
        <f t="shared" si="21"/>
        <v>71455.614050593009</v>
      </c>
      <c r="Z13" s="2">
        <f t="shared" si="10"/>
        <v>1888.5384920733281</v>
      </c>
      <c r="AA13" s="3">
        <f>Grunddaten!$B$8</f>
        <v>0.03</v>
      </c>
      <c r="AB13" s="2">
        <f t="shared" si="3"/>
        <v>1945.1946468355281</v>
      </c>
      <c r="AC13" s="2"/>
      <c r="AD13" s="2"/>
      <c r="AE13" s="2">
        <f t="shared" si="11"/>
        <v>1945.1946468355281</v>
      </c>
      <c r="AF13" s="2">
        <f t="shared" si="23"/>
        <v>90788.991369778087</v>
      </c>
      <c r="AH13" s="2">
        <f t="shared" si="12"/>
        <v>1888.5384920733281</v>
      </c>
      <c r="AI13" s="3">
        <f>Grunddaten!$B$8</f>
        <v>0.03</v>
      </c>
      <c r="AJ13" s="2">
        <f t="shared" si="4"/>
        <v>1945.1946468355281</v>
      </c>
      <c r="AK13" s="2">
        <f>-Grunddaten!$E$82</f>
        <v>6695.9609979120823</v>
      </c>
      <c r="AL13" s="2"/>
      <c r="AM13" s="2">
        <f t="shared" si="13"/>
        <v>8641.1556447476105</v>
      </c>
      <c r="AN13" s="2">
        <f t="shared" si="25"/>
        <v>54753.67051838601</v>
      </c>
    </row>
    <row r="14" spans="1:40" x14ac:dyDescent="0.3">
      <c r="A14">
        <v>2037</v>
      </c>
      <c r="C14" s="2">
        <f t="shared" si="5"/>
        <v>8859.788889571817</v>
      </c>
      <c r="D14" s="3">
        <f>Grunddaten!$B$8</f>
        <v>0.03</v>
      </c>
      <c r="E14" s="2">
        <f t="shared" si="0"/>
        <v>9125.5825562589725</v>
      </c>
      <c r="F14" s="2"/>
      <c r="G14" s="2">
        <f t="shared" si="14"/>
        <v>9125.5825562589725</v>
      </c>
      <c r="H14" s="2">
        <f t="shared" si="15"/>
        <v>103561.16776489129</v>
      </c>
      <c r="J14" s="2">
        <f t="shared" si="16"/>
        <v>1945.1946468355281</v>
      </c>
      <c r="K14" s="3">
        <f>Grunddaten!$B$8</f>
        <v>0.03</v>
      </c>
      <c r="L14" s="2">
        <f t="shared" si="17"/>
        <v>2003.550486240594</v>
      </c>
      <c r="M14" s="2"/>
      <c r="N14" s="2"/>
      <c r="O14" s="2">
        <f t="shared" si="7"/>
        <v>2003.550486240594</v>
      </c>
      <c r="P14" s="2">
        <f t="shared" si="19"/>
        <v>117665.75995770236</v>
      </c>
      <c r="R14" s="2">
        <f t="shared" si="8"/>
        <v>1945.1946468355281</v>
      </c>
      <c r="S14" s="3">
        <f>Grunddaten!$B$8</f>
        <v>0.03</v>
      </c>
      <c r="T14" s="2">
        <f t="shared" si="2"/>
        <v>2003.550486240594</v>
      </c>
      <c r="U14" s="2">
        <f>-Grunddaten!$E$80</f>
        <v>8214.3195008399925</v>
      </c>
      <c r="V14" s="2"/>
      <c r="W14" s="2">
        <f t="shared" si="9"/>
        <v>10217.869987080587</v>
      </c>
      <c r="X14" s="2">
        <f t="shared" si="21"/>
        <v>81673.484037673596</v>
      </c>
      <c r="Z14" s="2">
        <f t="shared" si="10"/>
        <v>1945.1946468355281</v>
      </c>
      <c r="AA14" s="3">
        <f>Grunddaten!$B$8</f>
        <v>0.03</v>
      </c>
      <c r="AB14" s="2">
        <f t="shared" si="3"/>
        <v>2003.550486240594</v>
      </c>
      <c r="AC14" s="2"/>
      <c r="AD14" s="2"/>
      <c r="AE14" s="2">
        <f t="shared" si="11"/>
        <v>2003.550486240594</v>
      </c>
      <c r="AF14" s="2">
        <f t="shared" si="23"/>
        <v>92792.541856018681</v>
      </c>
      <c r="AH14" s="2">
        <f t="shared" si="12"/>
        <v>1945.1946468355281</v>
      </c>
      <c r="AI14" s="3">
        <f>Grunddaten!$B$8</f>
        <v>0.03</v>
      </c>
      <c r="AJ14" s="2">
        <f t="shared" si="4"/>
        <v>2003.550486240594</v>
      </c>
      <c r="AK14" s="2">
        <f>-Grunddaten!$E$82</f>
        <v>6695.9609979120823</v>
      </c>
      <c r="AL14" s="2"/>
      <c r="AM14" s="2">
        <f t="shared" si="13"/>
        <v>8699.5114841526756</v>
      </c>
      <c r="AN14" s="2">
        <f t="shared" si="25"/>
        <v>63453.182002538684</v>
      </c>
    </row>
    <row r="15" spans="1:40" x14ac:dyDescent="0.3">
      <c r="A15">
        <v>2038</v>
      </c>
      <c r="C15" s="2">
        <f t="shared" si="5"/>
        <v>9125.5825562589725</v>
      </c>
      <c r="D15" s="3">
        <f>Grunddaten!$B$8</f>
        <v>0.03</v>
      </c>
      <c r="E15" s="2">
        <f t="shared" si="0"/>
        <v>9399.3500329467424</v>
      </c>
      <c r="F15" s="2"/>
      <c r="G15" s="2">
        <f t="shared" si="14"/>
        <v>9399.3500329467424</v>
      </c>
      <c r="H15" s="2">
        <f t="shared" si="15"/>
        <v>112960.51779783802</v>
      </c>
      <c r="J15" s="2">
        <f t="shared" si="16"/>
        <v>2003.550486240594</v>
      </c>
      <c r="K15" s="3">
        <f>Grunddaten!$B$8</f>
        <v>0.03</v>
      </c>
      <c r="L15" s="2">
        <f t="shared" si="17"/>
        <v>2063.6570008278118</v>
      </c>
      <c r="M15" s="2"/>
      <c r="N15" s="2"/>
      <c r="O15" s="2">
        <f t="shared" si="7"/>
        <v>2063.6570008278118</v>
      </c>
      <c r="P15" s="2">
        <f t="shared" si="19"/>
        <v>119729.41695853017</v>
      </c>
      <c r="R15" s="2">
        <f t="shared" si="8"/>
        <v>2003.550486240594</v>
      </c>
      <c r="S15" s="3">
        <f>Grunddaten!$B$8</f>
        <v>0.03</v>
      </c>
      <c r="T15" s="2">
        <f t="shared" si="2"/>
        <v>2063.6570008278118</v>
      </c>
      <c r="U15" s="2">
        <f>-Grunddaten!$E$80</f>
        <v>8214.3195008399925</v>
      </c>
      <c r="V15" s="2"/>
      <c r="W15" s="2">
        <f t="shared" si="9"/>
        <v>10277.976501667805</v>
      </c>
      <c r="X15" s="2">
        <f t="shared" si="21"/>
        <v>91951.460539341395</v>
      </c>
      <c r="Z15" s="2">
        <f t="shared" si="10"/>
        <v>2003.550486240594</v>
      </c>
      <c r="AA15" s="3">
        <f>Grunddaten!$B$8</f>
        <v>0.03</v>
      </c>
      <c r="AB15" s="2">
        <f t="shared" si="3"/>
        <v>2063.6570008278118</v>
      </c>
      <c r="AC15" s="2"/>
      <c r="AD15" s="2"/>
      <c r="AE15" s="2">
        <f t="shared" si="11"/>
        <v>2063.6570008278118</v>
      </c>
      <c r="AF15" s="2">
        <f t="shared" si="23"/>
        <v>94856.198856846488</v>
      </c>
      <c r="AH15" s="2">
        <f t="shared" si="12"/>
        <v>2003.550486240594</v>
      </c>
      <c r="AI15" s="3">
        <f>Grunddaten!$B$8</f>
        <v>0.03</v>
      </c>
      <c r="AJ15" s="2">
        <f t="shared" si="4"/>
        <v>2063.6570008278118</v>
      </c>
      <c r="AK15" s="2">
        <f>-Grunddaten!$E$82</f>
        <v>6695.9609979120823</v>
      </c>
      <c r="AL15" s="2"/>
      <c r="AM15" s="2">
        <f t="shared" si="13"/>
        <v>8759.6179987398937</v>
      </c>
      <c r="AN15" s="2">
        <f t="shared" si="25"/>
        <v>72212.800001278578</v>
      </c>
    </row>
    <row r="16" spans="1:40" x14ac:dyDescent="0.3">
      <c r="A16">
        <v>2039</v>
      </c>
      <c r="C16" s="2">
        <f t="shared" si="5"/>
        <v>9399.3500329467424</v>
      </c>
      <c r="D16" s="3">
        <f>Grunddaten!$B$8</f>
        <v>0.03</v>
      </c>
      <c r="E16" s="2">
        <f t="shared" si="0"/>
        <v>9681.3305339351446</v>
      </c>
      <c r="F16" s="2"/>
      <c r="G16" s="2">
        <f t="shared" si="14"/>
        <v>9681.3305339351446</v>
      </c>
      <c r="H16" s="2">
        <f t="shared" si="15"/>
        <v>122641.84833177317</v>
      </c>
      <c r="J16" s="2">
        <f t="shared" si="16"/>
        <v>2063.6570008278118</v>
      </c>
      <c r="K16" s="3">
        <f>Grunddaten!$B$8</f>
        <v>0.03</v>
      </c>
      <c r="L16" s="2">
        <f t="shared" si="17"/>
        <v>2125.5667108526463</v>
      </c>
      <c r="M16" s="2"/>
      <c r="N16" s="2"/>
      <c r="O16" s="2">
        <f t="shared" si="7"/>
        <v>2125.5667108526463</v>
      </c>
      <c r="P16" s="2">
        <f t="shared" si="19"/>
        <v>121854.98366938281</v>
      </c>
      <c r="R16" s="2">
        <f t="shared" si="8"/>
        <v>2063.6570008278118</v>
      </c>
      <c r="S16" s="3">
        <f>Grunddaten!$B$8</f>
        <v>0.03</v>
      </c>
      <c r="T16" s="2">
        <f t="shared" si="2"/>
        <v>2125.5667108526463</v>
      </c>
      <c r="U16" s="2">
        <f>-Grunddaten!$E$80</f>
        <v>8214.3195008399925</v>
      </c>
      <c r="V16" s="2"/>
      <c r="W16" s="2">
        <f t="shared" si="9"/>
        <v>10339.886211692639</v>
      </c>
      <c r="X16" s="2">
        <f t="shared" si="21"/>
        <v>102291.34675103403</v>
      </c>
      <c r="Z16" s="2">
        <f t="shared" si="10"/>
        <v>2063.6570008278118</v>
      </c>
      <c r="AA16" s="3">
        <f>Grunddaten!$B$8</f>
        <v>0.03</v>
      </c>
      <c r="AB16" s="2">
        <f t="shared" si="3"/>
        <v>2125.5667108526463</v>
      </c>
      <c r="AC16" s="2"/>
      <c r="AD16" s="2"/>
      <c r="AE16" s="2">
        <f t="shared" si="11"/>
        <v>2125.5667108526463</v>
      </c>
      <c r="AF16" s="2">
        <f t="shared" si="23"/>
        <v>96981.765567699127</v>
      </c>
      <c r="AH16" s="2">
        <f t="shared" si="12"/>
        <v>2063.6570008278118</v>
      </c>
      <c r="AI16" s="3">
        <f>Grunddaten!$B$8</f>
        <v>0.03</v>
      </c>
      <c r="AJ16" s="2">
        <f t="shared" si="4"/>
        <v>2125.5667108526463</v>
      </c>
      <c r="AK16" s="2">
        <f>-Grunddaten!$E$82</f>
        <v>6695.9609979120823</v>
      </c>
      <c r="AL16" s="2"/>
      <c r="AM16" s="2">
        <f t="shared" si="13"/>
        <v>8821.5277087647282</v>
      </c>
      <c r="AN16" s="2">
        <f t="shared" si="25"/>
        <v>81034.327710043304</v>
      </c>
    </row>
    <row r="17" spans="1:40" x14ac:dyDescent="0.3">
      <c r="A17">
        <v>2040</v>
      </c>
      <c r="C17" s="2">
        <f t="shared" si="5"/>
        <v>9681.3305339351446</v>
      </c>
      <c r="D17" s="3">
        <f>Grunddaten!$B$8</f>
        <v>0.03</v>
      </c>
      <c r="E17" s="2">
        <f t="shared" si="0"/>
        <v>9971.7704499531992</v>
      </c>
      <c r="F17" s="2"/>
      <c r="G17" s="2">
        <f t="shared" si="14"/>
        <v>9971.7704499531992</v>
      </c>
      <c r="H17" s="26">
        <f t="shared" si="15"/>
        <v>132613.61878172637</v>
      </c>
      <c r="J17" s="2">
        <f t="shared" si="16"/>
        <v>2125.5667108526463</v>
      </c>
      <c r="K17" s="3">
        <f>Grunddaten!$B$8</f>
        <v>0.03</v>
      </c>
      <c r="L17" s="2">
        <f t="shared" si="17"/>
        <v>2189.3337121782256</v>
      </c>
      <c r="M17" s="2"/>
      <c r="N17" s="2"/>
      <c r="O17" s="2">
        <f t="shared" si="7"/>
        <v>2189.3337121782256</v>
      </c>
      <c r="P17" s="26">
        <f t="shared" si="19"/>
        <v>124044.31738156104</v>
      </c>
      <c r="R17" s="2">
        <f t="shared" si="8"/>
        <v>2125.5667108526463</v>
      </c>
      <c r="S17" s="3">
        <f>Grunddaten!$B$8</f>
        <v>0.03</v>
      </c>
      <c r="T17" s="2">
        <f t="shared" si="2"/>
        <v>2189.3337121782256</v>
      </c>
      <c r="U17" s="2">
        <f>-Grunddaten!$E$80</f>
        <v>8214.3195008399925</v>
      </c>
      <c r="V17" s="2"/>
      <c r="W17" s="2">
        <f t="shared" si="9"/>
        <v>10403.653213018219</v>
      </c>
      <c r="X17" s="26">
        <f t="shared" si="21"/>
        <v>112694.99996405224</v>
      </c>
      <c r="Z17" s="2">
        <f t="shared" si="10"/>
        <v>2125.5667108526463</v>
      </c>
      <c r="AA17" s="3">
        <f>Grunddaten!$B$8</f>
        <v>0.03</v>
      </c>
      <c r="AB17" s="2">
        <f t="shared" si="3"/>
        <v>2189.3337121782256</v>
      </c>
      <c r="AC17" s="2"/>
      <c r="AD17" s="2"/>
      <c r="AE17" s="2">
        <f t="shared" si="11"/>
        <v>2189.3337121782256</v>
      </c>
      <c r="AF17" s="26">
        <f t="shared" si="23"/>
        <v>99171.099279877351</v>
      </c>
      <c r="AH17" s="2">
        <f t="shared" si="12"/>
        <v>2125.5667108526463</v>
      </c>
      <c r="AI17" s="3">
        <f>Grunddaten!$B$8</f>
        <v>0.03</v>
      </c>
      <c r="AJ17" s="2">
        <f t="shared" si="4"/>
        <v>2189.3337121782256</v>
      </c>
      <c r="AK17" s="2">
        <f>-Grunddaten!$E$82</f>
        <v>6695.9609979120823</v>
      </c>
      <c r="AL17" s="2"/>
      <c r="AM17" s="2">
        <f t="shared" si="13"/>
        <v>8885.2947100903075</v>
      </c>
      <c r="AN17" s="26">
        <f t="shared" si="25"/>
        <v>89919.622420133615</v>
      </c>
    </row>
    <row r="18" spans="1:40" x14ac:dyDescent="0.3">
      <c r="A18">
        <v>2041</v>
      </c>
      <c r="C18" s="2">
        <f t="shared" si="5"/>
        <v>9971.7704499531992</v>
      </c>
      <c r="D18" s="3">
        <f>Grunddaten!$B$8</f>
        <v>0.03</v>
      </c>
      <c r="E18" s="2">
        <f t="shared" si="0"/>
        <v>10270.923563451795</v>
      </c>
      <c r="F18" s="2"/>
      <c r="G18" s="2">
        <f t="shared" si="14"/>
        <v>10270.923563451795</v>
      </c>
      <c r="H18" s="2">
        <f t="shared" si="15"/>
        <v>142884.54234517817</v>
      </c>
      <c r="J18" s="2">
        <f t="shared" si="16"/>
        <v>2189.3337121782256</v>
      </c>
      <c r="K18" s="3">
        <f>Grunddaten!$B$8</f>
        <v>0.03</v>
      </c>
      <c r="L18" s="2">
        <f t="shared" si="17"/>
        <v>2255.0137235435723</v>
      </c>
      <c r="M18" s="2"/>
      <c r="O18" s="2">
        <f t="shared" si="7"/>
        <v>2255.0137235435723</v>
      </c>
      <c r="P18" s="2">
        <f t="shared" si="19"/>
        <v>126299.3311051046</v>
      </c>
      <c r="R18" s="2">
        <f t="shared" si="8"/>
        <v>2189.3337121782256</v>
      </c>
      <c r="S18" s="3">
        <f>Grunddaten!$B$8</f>
        <v>0.03</v>
      </c>
      <c r="T18" s="2">
        <f t="shared" si="2"/>
        <v>2255.0137235435723</v>
      </c>
      <c r="U18" s="2">
        <f>-Grunddaten!$E$80</f>
        <v>8214.3195008399925</v>
      </c>
      <c r="W18" s="2">
        <f t="shared" si="9"/>
        <v>10469.333224383565</v>
      </c>
      <c r="X18" s="2">
        <f t="shared" si="21"/>
        <v>123164.3331884358</v>
      </c>
      <c r="Z18" s="2">
        <f t="shared" si="10"/>
        <v>2189.3337121782256</v>
      </c>
      <c r="AA18" s="3">
        <f>Grunddaten!$B$8</f>
        <v>0.03</v>
      </c>
      <c r="AB18" s="2">
        <f t="shared" si="3"/>
        <v>2255.0137235435723</v>
      </c>
      <c r="AC18" s="2"/>
      <c r="AE18" s="2">
        <f t="shared" si="11"/>
        <v>2255.0137235435723</v>
      </c>
      <c r="AF18" s="2">
        <f t="shared" si="23"/>
        <v>101426.11300342092</v>
      </c>
      <c r="AH18" s="2">
        <f t="shared" si="12"/>
        <v>2189.3337121782256</v>
      </c>
      <c r="AI18" s="3">
        <f>Grunddaten!$B$8</f>
        <v>0.03</v>
      </c>
      <c r="AJ18" s="2">
        <f t="shared" si="4"/>
        <v>2255.0137235435723</v>
      </c>
      <c r="AK18" s="2">
        <f>-Grunddaten!$E$82</f>
        <v>6695.9609979120823</v>
      </c>
      <c r="AM18" s="2">
        <f t="shared" si="13"/>
        <v>8950.9747214556555</v>
      </c>
      <c r="AN18" s="2">
        <f t="shared" si="25"/>
        <v>98870.597141589271</v>
      </c>
    </row>
    <row r="19" spans="1:40" x14ac:dyDescent="0.3">
      <c r="A19">
        <v>2042</v>
      </c>
      <c r="C19" s="2">
        <f t="shared" si="5"/>
        <v>10270.923563451795</v>
      </c>
      <c r="D19" s="3">
        <f>Grunddaten!$B$8</f>
        <v>0.03</v>
      </c>
      <c r="E19" s="2">
        <f t="shared" si="0"/>
        <v>10579.05127035535</v>
      </c>
      <c r="F19" s="2"/>
      <c r="G19" s="2">
        <f t="shared" si="14"/>
        <v>10579.05127035535</v>
      </c>
      <c r="H19" s="2">
        <f t="shared" si="15"/>
        <v>153463.59361553352</v>
      </c>
      <c r="J19" s="2">
        <f t="shared" si="16"/>
        <v>2255.0137235435723</v>
      </c>
      <c r="K19" s="3">
        <f>Grunddaten!$B$8</f>
        <v>0.03</v>
      </c>
      <c r="L19" s="2">
        <f t="shared" si="17"/>
        <v>2322.6641352498796</v>
      </c>
      <c r="M19" s="2"/>
      <c r="O19" s="2">
        <f t="shared" si="7"/>
        <v>2322.6641352498796</v>
      </c>
      <c r="P19" s="2">
        <f t="shared" si="19"/>
        <v>128621.99524035449</v>
      </c>
      <c r="R19" s="2">
        <f t="shared" si="8"/>
        <v>2255.0137235435723</v>
      </c>
      <c r="S19" s="3">
        <f>Grunddaten!$B$8</f>
        <v>0.03</v>
      </c>
      <c r="T19" s="2">
        <f t="shared" si="2"/>
        <v>2322.6641352498796</v>
      </c>
      <c r="U19" s="2">
        <f>-Grunddaten!$E$80</f>
        <v>8214.3195008399925</v>
      </c>
      <c r="W19" s="2">
        <f t="shared" si="9"/>
        <v>10536.983636089872</v>
      </c>
      <c r="X19" s="2">
        <f t="shared" si="21"/>
        <v>133701.31682452568</v>
      </c>
      <c r="Z19" s="2">
        <f t="shared" si="10"/>
        <v>2255.0137235435723</v>
      </c>
      <c r="AA19" s="3">
        <f>Grunddaten!$B$8</f>
        <v>0.03</v>
      </c>
      <c r="AB19" s="2">
        <f t="shared" si="3"/>
        <v>2322.6641352498796</v>
      </c>
      <c r="AC19" s="2"/>
      <c r="AE19" s="2">
        <f t="shared" si="11"/>
        <v>2322.6641352498796</v>
      </c>
      <c r="AF19" s="2">
        <f t="shared" si="23"/>
        <v>103748.7771386708</v>
      </c>
      <c r="AH19" s="2">
        <f t="shared" si="12"/>
        <v>2255.0137235435723</v>
      </c>
      <c r="AI19" s="3">
        <f>Grunddaten!$B$8</f>
        <v>0.03</v>
      </c>
      <c r="AJ19" s="2">
        <f t="shared" si="4"/>
        <v>2322.6641352498796</v>
      </c>
      <c r="AK19" s="2">
        <f>-Grunddaten!$E$82</f>
        <v>6695.9609979120823</v>
      </c>
      <c r="AM19" s="2">
        <f t="shared" si="13"/>
        <v>9018.6251331619624</v>
      </c>
      <c r="AN19" s="2">
        <f t="shared" si="25"/>
        <v>107889.22227475123</v>
      </c>
    </row>
    <row r="20" spans="1:40" x14ac:dyDescent="0.3">
      <c r="A20">
        <v>2043</v>
      </c>
      <c r="C20" s="2">
        <f t="shared" si="5"/>
        <v>10579.05127035535</v>
      </c>
      <c r="D20" s="3">
        <f>Grunddaten!$B$8</f>
        <v>0.03</v>
      </c>
      <c r="E20" s="2">
        <f t="shared" si="0"/>
        <v>10896.422808466012</v>
      </c>
      <c r="F20" s="2"/>
      <c r="G20" s="2">
        <f t="shared" si="14"/>
        <v>10896.422808466012</v>
      </c>
      <c r="H20" s="2">
        <f t="shared" si="15"/>
        <v>164360.01642399954</v>
      </c>
      <c r="J20" s="2">
        <f t="shared" si="16"/>
        <v>2322.6641352498796</v>
      </c>
      <c r="K20" s="3">
        <f>Grunddaten!$B$8</f>
        <v>0.03</v>
      </c>
      <c r="L20" s="2">
        <f t="shared" si="17"/>
        <v>2392.344059307376</v>
      </c>
      <c r="M20" s="2"/>
      <c r="O20" s="2">
        <f t="shared" si="7"/>
        <v>2392.344059307376</v>
      </c>
      <c r="P20" s="2">
        <f t="shared" si="19"/>
        <v>131014.33929966186</v>
      </c>
      <c r="R20" s="2">
        <f t="shared" si="8"/>
        <v>2322.6641352498796</v>
      </c>
      <c r="S20" s="3">
        <f>Grunddaten!$B$8</f>
        <v>0.03</v>
      </c>
      <c r="T20" s="2">
        <f t="shared" si="2"/>
        <v>2392.344059307376</v>
      </c>
      <c r="U20" s="2">
        <f>-Grunddaten!$E$80</f>
        <v>8214.3195008399925</v>
      </c>
      <c r="W20" s="2">
        <f t="shared" si="9"/>
        <v>10606.663560147368</v>
      </c>
      <c r="X20" s="2">
        <f t="shared" si="21"/>
        <v>144307.98038467305</v>
      </c>
      <c r="Z20" s="2">
        <f t="shared" si="10"/>
        <v>2322.6641352498796</v>
      </c>
      <c r="AA20" s="3">
        <f>Grunddaten!$B$8</f>
        <v>0.03</v>
      </c>
      <c r="AB20" s="2">
        <f t="shared" si="3"/>
        <v>2392.344059307376</v>
      </c>
      <c r="AC20" s="2"/>
      <c r="AE20" s="2">
        <f t="shared" si="11"/>
        <v>2392.344059307376</v>
      </c>
      <c r="AF20" s="2">
        <f t="shared" si="23"/>
        <v>106141.12119797818</v>
      </c>
      <c r="AH20" s="2">
        <f t="shared" si="12"/>
        <v>2322.6641352498796</v>
      </c>
      <c r="AI20" s="3">
        <f>Grunddaten!$B$8</f>
        <v>0.03</v>
      </c>
      <c r="AJ20" s="2">
        <f t="shared" si="4"/>
        <v>2392.344059307376</v>
      </c>
      <c r="AK20" s="2">
        <f>-Grunddaten!$E$82</f>
        <v>6695.9609979120823</v>
      </c>
      <c r="AM20" s="2">
        <f t="shared" si="13"/>
        <v>9088.3050572194588</v>
      </c>
      <c r="AN20" s="2">
        <f t="shared" si="25"/>
        <v>116977.52733197069</v>
      </c>
    </row>
    <row r="21" spans="1:40" x14ac:dyDescent="0.3">
      <c r="A21">
        <v>2044</v>
      </c>
      <c r="C21" s="2">
        <f t="shared" si="5"/>
        <v>10896.422808466012</v>
      </c>
      <c r="D21" s="3">
        <f>Grunddaten!$B$8</f>
        <v>0.03</v>
      </c>
      <c r="E21" s="2">
        <f t="shared" si="0"/>
        <v>11223.315492719992</v>
      </c>
      <c r="F21" s="2"/>
      <c r="G21" s="2">
        <f t="shared" si="14"/>
        <v>11223.315492719992</v>
      </c>
      <c r="H21" s="2">
        <f t="shared" si="15"/>
        <v>175583.33191671953</v>
      </c>
      <c r="J21" s="2">
        <f t="shared" si="16"/>
        <v>2392.344059307376</v>
      </c>
      <c r="K21" s="3">
        <f>Grunddaten!$B$8</f>
        <v>0.03</v>
      </c>
      <c r="L21" s="2">
        <f t="shared" si="17"/>
        <v>2464.1143810865974</v>
      </c>
      <c r="M21" s="2"/>
      <c r="O21" s="2">
        <f t="shared" si="7"/>
        <v>2464.1143810865974</v>
      </c>
      <c r="P21" s="2">
        <f t="shared" si="19"/>
        <v>133478.45368074847</v>
      </c>
      <c r="R21" s="2">
        <f t="shared" si="8"/>
        <v>2392.344059307376</v>
      </c>
      <c r="S21" s="3">
        <f>Grunddaten!$B$8</f>
        <v>0.03</v>
      </c>
      <c r="T21" s="2">
        <f t="shared" si="2"/>
        <v>2464.1143810865974</v>
      </c>
      <c r="U21" s="2">
        <f>-Grunddaten!$E$80</f>
        <v>8214.3195008399925</v>
      </c>
      <c r="W21" s="2">
        <f t="shared" si="9"/>
        <v>10678.43388192659</v>
      </c>
      <c r="X21" s="2">
        <f t="shared" si="21"/>
        <v>154986.41426659963</v>
      </c>
      <c r="Z21" s="2">
        <f t="shared" si="10"/>
        <v>2392.344059307376</v>
      </c>
      <c r="AA21" s="3">
        <f>Grunddaten!$B$8</f>
        <v>0.03</v>
      </c>
      <c r="AB21" s="2">
        <f t="shared" si="3"/>
        <v>2464.1143810865974</v>
      </c>
      <c r="AC21" s="2"/>
      <c r="AE21" s="2">
        <f t="shared" si="11"/>
        <v>2464.1143810865974</v>
      </c>
      <c r="AF21" s="2">
        <f t="shared" si="23"/>
        <v>108605.23557906477</v>
      </c>
      <c r="AH21" s="2">
        <f t="shared" si="12"/>
        <v>2392.344059307376</v>
      </c>
      <c r="AI21" s="3">
        <f>Grunddaten!$B$8</f>
        <v>0.03</v>
      </c>
      <c r="AJ21" s="2">
        <f t="shared" si="4"/>
        <v>2464.1143810865974</v>
      </c>
      <c r="AK21" s="2">
        <f>-Grunddaten!$E$82</f>
        <v>6695.9609979120823</v>
      </c>
      <c r="AM21" s="2">
        <f t="shared" si="13"/>
        <v>9160.0753789986793</v>
      </c>
      <c r="AN21" s="2">
        <f t="shared" si="25"/>
        <v>126137.60271096937</v>
      </c>
    </row>
    <row r="22" spans="1:40" x14ac:dyDescent="0.3">
      <c r="A22">
        <v>2045</v>
      </c>
      <c r="C22" s="2">
        <f t="shared" si="5"/>
        <v>11223.315492719992</v>
      </c>
      <c r="D22" s="3">
        <f>Grunddaten!$B$8</f>
        <v>0.03</v>
      </c>
      <c r="E22" s="2">
        <f t="shared" si="0"/>
        <v>11560.014957501593</v>
      </c>
      <c r="F22" s="2"/>
      <c r="G22" s="2">
        <f t="shared" si="14"/>
        <v>11560.014957501593</v>
      </c>
      <c r="H22" s="26">
        <f t="shared" si="15"/>
        <v>187143.34687422111</v>
      </c>
      <c r="J22" s="2">
        <f t="shared" si="16"/>
        <v>2464.1143810865974</v>
      </c>
      <c r="K22" s="3">
        <f>Grunddaten!$B$8</f>
        <v>0.03</v>
      </c>
      <c r="L22" s="2">
        <f t="shared" si="17"/>
        <v>2538.0378125191955</v>
      </c>
      <c r="M22" s="2"/>
      <c r="O22" s="2">
        <f t="shared" si="7"/>
        <v>2538.0378125191955</v>
      </c>
      <c r="P22" s="26">
        <f t="shared" si="19"/>
        <v>136016.49149326768</v>
      </c>
      <c r="R22" s="2">
        <f t="shared" si="8"/>
        <v>2464.1143810865974</v>
      </c>
      <c r="S22" s="3">
        <f>Grunddaten!$B$8</f>
        <v>0.03</v>
      </c>
      <c r="T22" s="2">
        <f t="shared" si="2"/>
        <v>2538.0378125191955</v>
      </c>
      <c r="U22" s="2">
        <f>-Grunddaten!$E$80</f>
        <v>8214.3195008399925</v>
      </c>
      <c r="W22" s="2">
        <f t="shared" si="9"/>
        <v>10752.357313359189</v>
      </c>
      <c r="X22" s="26">
        <f t="shared" si="21"/>
        <v>165738.77157995882</v>
      </c>
      <c r="Z22" s="2">
        <f t="shared" si="10"/>
        <v>2464.1143810865974</v>
      </c>
      <c r="AA22" s="3">
        <f>Grunddaten!$B$8</f>
        <v>0.03</v>
      </c>
      <c r="AB22" s="2">
        <f t="shared" si="3"/>
        <v>2538.0378125191955</v>
      </c>
      <c r="AC22" s="2"/>
      <c r="AE22" s="2">
        <f t="shared" si="11"/>
        <v>2538.0378125191955</v>
      </c>
      <c r="AF22" s="26">
        <f t="shared" si="23"/>
        <v>111143.27339158396</v>
      </c>
      <c r="AH22" s="2">
        <f t="shared" si="12"/>
        <v>2464.1143810865974</v>
      </c>
      <c r="AI22" s="3">
        <f>Grunddaten!$B$8</f>
        <v>0.03</v>
      </c>
      <c r="AJ22" s="2">
        <f t="shared" si="4"/>
        <v>2538.0378125191955</v>
      </c>
      <c r="AK22" s="2">
        <f>-Grunddaten!$E$82</f>
        <v>6695.9609979120823</v>
      </c>
      <c r="AM22" s="2">
        <f t="shared" si="13"/>
        <v>9233.9988104312779</v>
      </c>
      <c r="AN22" s="26">
        <f t="shared" si="25"/>
        <v>135371.60152140065</v>
      </c>
    </row>
    <row r="23" spans="1:40" x14ac:dyDescent="0.3">
      <c r="A23">
        <v>2046</v>
      </c>
      <c r="C23" s="2">
        <f t="shared" si="5"/>
        <v>11560.014957501593</v>
      </c>
      <c r="D23" s="3">
        <f>Grunddaten!$B$8</f>
        <v>0.03</v>
      </c>
      <c r="E23" s="2">
        <f t="shared" si="0"/>
        <v>11906.81540622664</v>
      </c>
      <c r="F23" s="2"/>
      <c r="G23" s="2">
        <f t="shared" si="14"/>
        <v>11906.81540622664</v>
      </c>
      <c r="H23" s="2">
        <f t="shared" si="15"/>
        <v>199050.16228044775</v>
      </c>
      <c r="J23" s="2">
        <f t="shared" si="16"/>
        <v>2538.0378125191955</v>
      </c>
      <c r="K23" s="3">
        <f>Grunddaten!$B$8</f>
        <v>0.03</v>
      </c>
      <c r="L23" s="2">
        <f t="shared" si="17"/>
        <v>2614.1789468947713</v>
      </c>
      <c r="M23" s="2"/>
      <c r="O23" s="2">
        <f t="shared" si="7"/>
        <v>2614.1789468947713</v>
      </c>
      <c r="P23" s="2">
        <f t="shared" si="19"/>
        <v>138630.67044016244</v>
      </c>
      <c r="R23" s="2">
        <f t="shared" si="8"/>
        <v>2538.0378125191955</v>
      </c>
      <c r="S23" s="3">
        <f>Grunddaten!$B$8</f>
        <v>0.03</v>
      </c>
      <c r="T23" s="2">
        <f t="shared" si="2"/>
        <v>2614.1789468947713</v>
      </c>
      <c r="U23" s="2"/>
      <c r="W23" s="2">
        <f t="shared" si="9"/>
        <v>2614.1789468947713</v>
      </c>
      <c r="X23" s="2">
        <f t="shared" si="21"/>
        <v>168352.95052685359</v>
      </c>
      <c r="Z23" s="2">
        <f t="shared" si="10"/>
        <v>2538.0378125191955</v>
      </c>
      <c r="AA23" s="3">
        <f>Grunddaten!$B$8</f>
        <v>0.03</v>
      </c>
      <c r="AB23" s="2">
        <f t="shared" si="3"/>
        <v>2614.1789468947713</v>
      </c>
      <c r="AC23" s="2"/>
      <c r="AE23" s="2">
        <f t="shared" si="11"/>
        <v>2614.1789468947713</v>
      </c>
      <c r="AF23" s="2">
        <f t="shared" si="23"/>
        <v>113757.45233847873</v>
      </c>
      <c r="AH23" s="2">
        <f t="shared" si="12"/>
        <v>2538.0378125191955</v>
      </c>
      <c r="AI23" s="3">
        <f>Grunddaten!$B$8</f>
        <v>0.03</v>
      </c>
      <c r="AJ23" s="2">
        <f t="shared" si="4"/>
        <v>2614.1789468947713</v>
      </c>
      <c r="AK23" s="2"/>
      <c r="AM23" s="2">
        <f t="shared" si="13"/>
        <v>2614.1789468947713</v>
      </c>
      <c r="AN23" s="2">
        <f t="shared" si="25"/>
        <v>137985.78046829542</v>
      </c>
    </row>
    <row r="24" spans="1:40" x14ac:dyDescent="0.3">
      <c r="A24">
        <v>2047</v>
      </c>
      <c r="C24" s="2">
        <f t="shared" si="5"/>
        <v>11906.81540622664</v>
      </c>
      <c r="D24" s="3">
        <f>Grunddaten!$B$8</f>
        <v>0.03</v>
      </c>
      <c r="E24" s="2">
        <f t="shared" si="0"/>
        <v>12264.019868413439</v>
      </c>
      <c r="F24" s="2"/>
      <c r="G24" s="2">
        <f t="shared" si="14"/>
        <v>12264.019868413439</v>
      </c>
      <c r="H24" s="2">
        <f t="shared" si="15"/>
        <v>211314.1821488612</v>
      </c>
      <c r="J24" s="2">
        <f t="shared" si="16"/>
        <v>2614.1789468947713</v>
      </c>
      <c r="K24" s="3">
        <f>Grunddaten!$B$8</f>
        <v>0.03</v>
      </c>
      <c r="L24" s="2">
        <f t="shared" si="17"/>
        <v>2692.6043153016144</v>
      </c>
      <c r="M24" s="2"/>
      <c r="O24" s="2">
        <f t="shared" si="7"/>
        <v>2692.6043153016144</v>
      </c>
      <c r="P24" s="2">
        <f t="shared" si="19"/>
        <v>141323.27475546405</v>
      </c>
      <c r="R24" s="2">
        <f t="shared" si="8"/>
        <v>2614.1789468947713</v>
      </c>
      <c r="S24" s="3">
        <f>Grunddaten!$B$8</f>
        <v>0.03</v>
      </c>
      <c r="T24" s="2">
        <f t="shared" si="2"/>
        <v>2692.6043153016144</v>
      </c>
      <c r="U24" s="2"/>
      <c r="W24" s="2">
        <f t="shared" si="9"/>
        <v>2692.6043153016144</v>
      </c>
      <c r="X24" s="2">
        <f t="shared" si="21"/>
        <v>171045.55484215519</v>
      </c>
      <c r="Z24" s="2">
        <f t="shared" si="10"/>
        <v>2614.1789468947713</v>
      </c>
      <c r="AA24" s="3">
        <f>Grunddaten!$B$8</f>
        <v>0.03</v>
      </c>
      <c r="AB24" s="2">
        <f t="shared" si="3"/>
        <v>2692.6043153016144</v>
      </c>
      <c r="AC24" s="2"/>
      <c r="AE24" s="2">
        <f t="shared" si="11"/>
        <v>2692.6043153016144</v>
      </c>
      <c r="AF24" s="2">
        <f t="shared" si="23"/>
        <v>116450.05665378034</v>
      </c>
      <c r="AH24" s="2">
        <f t="shared" si="12"/>
        <v>2614.1789468947713</v>
      </c>
      <c r="AI24" s="3">
        <f>Grunddaten!$B$8</f>
        <v>0.03</v>
      </c>
      <c r="AJ24" s="2">
        <f t="shared" si="4"/>
        <v>2692.6043153016144</v>
      </c>
      <c r="AK24" s="2"/>
      <c r="AM24" s="2">
        <f t="shared" si="13"/>
        <v>2692.6043153016144</v>
      </c>
      <c r="AN24" s="2">
        <f t="shared" si="25"/>
        <v>140678.38478359702</v>
      </c>
    </row>
    <row r="25" spans="1:40" x14ac:dyDescent="0.3">
      <c r="A25">
        <v>2048</v>
      </c>
      <c r="C25" s="2">
        <f t="shared" si="5"/>
        <v>12264.019868413439</v>
      </c>
      <c r="D25" s="3">
        <f>Grunddaten!$B$8</f>
        <v>0.03</v>
      </c>
      <c r="E25" s="2">
        <f t="shared" ref="E25:E27" si="26">C25*(1+D25)</f>
        <v>12631.940464465843</v>
      </c>
      <c r="F25" s="2"/>
      <c r="G25" s="2">
        <f t="shared" si="14"/>
        <v>12631.940464465843</v>
      </c>
      <c r="H25" s="2">
        <f t="shared" si="15"/>
        <v>223946.12261332705</v>
      </c>
      <c r="J25" s="2">
        <f t="shared" si="16"/>
        <v>2692.6043153016144</v>
      </c>
      <c r="K25" s="3">
        <f>Grunddaten!$B$8</f>
        <v>0.03</v>
      </c>
      <c r="L25" s="2">
        <f t="shared" si="17"/>
        <v>2773.382444760663</v>
      </c>
      <c r="M25" s="2"/>
      <c r="O25" s="2">
        <f t="shared" si="7"/>
        <v>2773.382444760663</v>
      </c>
      <c r="P25" s="2">
        <f t="shared" si="19"/>
        <v>144096.65720022473</v>
      </c>
      <c r="R25" s="2">
        <f t="shared" si="8"/>
        <v>2692.6043153016144</v>
      </c>
      <c r="S25" s="3">
        <f>Grunddaten!$B$8</f>
        <v>0.03</v>
      </c>
      <c r="T25" s="2">
        <f t="shared" si="2"/>
        <v>2773.382444760663</v>
      </c>
      <c r="U25" s="2"/>
      <c r="W25" s="2">
        <f t="shared" si="9"/>
        <v>2773.382444760663</v>
      </c>
      <c r="X25" s="2">
        <f t="shared" si="21"/>
        <v>173818.93728691587</v>
      </c>
      <c r="Z25" s="2">
        <f t="shared" si="10"/>
        <v>2692.6043153016144</v>
      </c>
      <c r="AA25" s="3">
        <f>Grunddaten!$B$8</f>
        <v>0.03</v>
      </c>
      <c r="AB25" s="2">
        <f t="shared" si="3"/>
        <v>2773.382444760663</v>
      </c>
      <c r="AC25" s="2"/>
      <c r="AE25" s="2">
        <f t="shared" si="11"/>
        <v>2773.382444760663</v>
      </c>
      <c r="AF25" s="2">
        <f t="shared" si="23"/>
        <v>119223.439098541</v>
      </c>
      <c r="AH25" s="2">
        <f t="shared" si="12"/>
        <v>2692.6043153016144</v>
      </c>
      <c r="AI25" s="3">
        <f>Grunddaten!$B$8</f>
        <v>0.03</v>
      </c>
      <c r="AJ25" s="2">
        <f t="shared" si="4"/>
        <v>2773.382444760663</v>
      </c>
      <c r="AK25" s="2"/>
      <c r="AM25" s="2">
        <f t="shared" si="13"/>
        <v>2773.382444760663</v>
      </c>
      <c r="AN25" s="2">
        <f t="shared" si="25"/>
        <v>143451.7672283577</v>
      </c>
    </row>
    <row r="26" spans="1:40" x14ac:dyDescent="0.3">
      <c r="A26">
        <v>2049</v>
      </c>
      <c r="C26" s="2">
        <f t="shared" si="5"/>
        <v>12631.940464465843</v>
      </c>
      <c r="D26" s="3">
        <f>Grunddaten!$B$8</f>
        <v>0.03</v>
      </c>
      <c r="E26" s="2">
        <f t="shared" si="26"/>
        <v>13010.898678399819</v>
      </c>
      <c r="F26" s="2"/>
      <c r="G26" s="2">
        <f t="shared" si="14"/>
        <v>13010.898678399819</v>
      </c>
      <c r="H26" s="2">
        <f t="shared" si="15"/>
        <v>236957.02129172688</v>
      </c>
      <c r="J26" s="2">
        <f t="shared" si="16"/>
        <v>2773.382444760663</v>
      </c>
      <c r="K26" s="3">
        <f>Grunddaten!$B$8</f>
        <v>0.03</v>
      </c>
      <c r="L26" s="2">
        <f t="shared" si="17"/>
        <v>2856.583918103483</v>
      </c>
      <c r="M26" s="2"/>
      <c r="O26" s="2">
        <f t="shared" si="7"/>
        <v>2856.583918103483</v>
      </c>
      <c r="P26" s="2">
        <f t="shared" si="19"/>
        <v>146953.24111832821</v>
      </c>
      <c r="R26" s="2">
        <f t="shared" si="8"/>
        <v>2773.382444760663</v>
      </c>
      <c r="S26" s="3">
        <f>Grunddaten!$B$8</f>
        <v>0.03</v>
      </c>
      <c r="T26" s="2">
        <f t="shared" si="2"/>
        <v>2856.583918103483</v>
      </c>
      <c r="U26" s="2"/>
      <c r="W26" s="2">
        <f t="shared" si="9"/>
        <v>2856.583918103483</v>
      </c>
      <c r="X26" s="2">
        <f t="shared" si="21"/>
        <v>176675.52120501935</v>
      </c>
      <c r="Z26" s="2">
        <f t="shared" si="10"/>
        <v>2773.382444760663</v>
      </c>
      <c r="AA26" s="3">
        <f>Grunddaten!$B$8</f>
        <v>0.03</v>
      </c>
      <c r="AB26" s="2">
        <f t="shared" si="3"/>
        <v>2856.583918103483</v>
      </c>
      <c r="AC26" s="2"/>
      <c r="AE26" s="2">
        <f t="shared" si="11"/>
        <v>2856.583918103483</v>
      </c>
      <c r="AF26" s="2">
        <f t="shared" si="23"/>
        <v>122080.02301664448</v>
      </c>
      <c r="AH26" s="2">
        <f t="shared" si="12"/>
        <v>2773.382444760663</v>
      </c>
      <c r="AI26" s="3">
        <f>Grunddaten!$B$8</f>
        <v>0.03</v>
      </c>
      <c r="AJ26" s="2">
        <f t="shared" si="4"/>
        <v>2856.583918103483</v>
      </c>
      <c r="AK26" s="2"/>
      <c r="AM26" s="2">
        <f t="shared" si="13"/>
        <v>2856.583918103483</v>
      </c>
      <c r="AN26" s="2">
        <f t="shared" si="25"/>
        <v>146308.35114646118</v>
      </c>
    </row>
    <row r="27" spans="1:40" x14ac:dyDescent="0.3">
      <c r="A27">
        <v>2050</v>
      </c>
      <c r="C27" s="2">
        <f t="shared" si="5"/>
        <v>13010.898678399819</v>
      </c>
      <c r="D27" s="3">
        <f>Grunddaten!$B$8</f>
        <v>0.03</v>
      </c>
      <c r="E27" s="2">
        <f t="shared" si="26"/>
        <v>13401.225638751814</v>
      </c>
      <c r="F27" s="2"/>
      <c r="G27" s="2">
        <f t="shared" si="14"/>
        <v>13401.225638751814</v>
      </c>
      <c r="H27" s="26">
        <f t="shared" si="15"/>
        <v>250358.24693047869</v>
      </c>
      <c r="J27" s="2">
        <f t="shared" si="16"/>
        <v>2856.583918103483</v>
      </c>
      <c r="K27" s="3">
        <f>Grunddaten!$B$8</f>
        <v>0.03</v>
      </c>
      <c r="L27" s="2">
        <f t="shared" si="17"/>
        <v>2942.2814356465874</v>
      </c>
      <c r="M27" s="2"/>
      <c r="O27" s="2">
        <f t="shared" si="7"/>
        <v>2942.2814356465874</v>
      </c>
      <c r="P27" s="26">
        <f t="shared" si="19"/>
        <v>149895.52255397479</v>
      </c>
      <c r="R27" s="2">
        <f t="shared" si="8"/>
        <v>2856.583918103483</v>
      </c>
      <c r="S27" s="3">
        <f>Grunddaten!$B$8</f>
        <v>0.03</v>
      </c>
      <c r="T27" s="2">
        <f t="shared" si="2"/>
        <v>2942.2814356465874</v>
      </c>
      <c r="U27" s="2"/>
      <c r="W27" s="2">
        <f t="shared" si="9"/>
        <v>2942.2814356465874</v>
      </c>
      <c r="X27" s="26">
        <f t="shared" si="21"/>
        <v>179617.80264066593</v>
      </c>
      <c r="Z27" s="2">
        <f t="shared" si="10"/>
        <v>2856.583918103483</v>
      </c>
      <c r="AA27" s="3">
        <f>Grunddaten!$B$8</f>
        <v>0.03</v>
      </c>
      <c r="AB27" s="2">
        <f t="shared" si="3"/>
        <v>2942.2814356465874</v>
      </c>
      <c r="AC27" s="2"/>
      <c r="AE27" s="2">
        <f t="shared" si="11"/>
        <v>2942.2814356465874</v>
      </c>
      <c r="AF27" s="26">
        <f t="shared" si="23"/>
        <v>125022.30445229106</v>
      </c>
      <c r="AH27" s="2">
        <f t="shared" si="12"/>
        <v>2856.583918103483</v>
      </c>
      <c r="AI27" s="3">
        <f>Grunddaten!$B$8</f>
        <v>0.03</v>
      </c>
      <c r="AJ27" s="2">
        <f t="shared" si="4"/>
        <v>2942.2814356465874</v>
      </c>
      <c r="AK27" s="2"/>
      <c r="AM27" s="2">
        <f t="shared" si="13"/>
        <v>2942.2814356465874</v>
      </c>
      <c r="AN27" s="26">
        <f t="shared" si="25"/>
        <v>149250.63258210776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Diagramme</vt:lpstr>
      </vt:variant>
      <vt:variant>
        <vt:i4>1</vt:i4>
      </vt:variant>
    </vt:vector>
  </HeadingPairs>
  <TitlesOfParts>
    <vt:vector size="3" baseType="lpstr">
      <vt:lpstr>Grunddaten</vt:lpstr>
      <vt:lpstr>Jahreskosten</vt:lpstr>
      <vt:lpstr>Diagramm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Norbert Flamisch</dc:creator>
  <cp:lastModifiedBy>Norbert Flamisch</cp:lastModifiedBy>
  <dcterms:created xsi:type="dcterms:W3CDTF">2025-08-07T12:38:30Z</dcterms:created>
  <dcterms:modified xsi:type="dcterms:W3CDTF">2025-08-12T09:23:02Z</dcterms:modified>
</cp:coreProperties>
</file>